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ideos\2025 November\Topup Model\"/>
    </mc:Choice>
  </mc:AlternateContent>
  <xr:revisionPtr revIDLastSave="0" documentId="8_{2CE61DC5-2CAA-43A3-A5D4-7EDEE64078F8}" xr6:coauthVersionLast="47" xr6:coauthVersionMax="47" xr10:uidLastSave="{00000000-0000-0000-0000-000000000000}"/>
  <bookViews>
    <workbookView xWindow="-28920" yWindow="-120" windowWidth="29040" windowHeight="15840" xr2:uid="{8057AD79-CE73-4FEB-8028-A1C429370541}"/>
  </bookViews>
  <sheets>
    <sheet name="TOPUP CALC" sheetId="2" r:id="rId1"/>
    <sheet name="205% 150p" sheetId="3" r:id="rId2"/>
    <sheet name="105% 100p" sheetId="4" r:id="rId3"/>
    <sheet name="80% 80p" sheetId="6" r:id="rId4"/>
    <sheet name="50% 80p " sheetId="5" r:id="rId5"/>
    <sheet name="40% 60p" sheetId="10" r:id="rId6"/>
    <sheet name="Create your own 1" sheetId="8" r:id="rId7"/>
    <sheet name="Create your own 2" sheetId="9" r:id="rId8"/>
    <sheet name="Sheet1" sheetId="1" r:id="rId9"/>
  </sheets>
  <definedNames>
    <definedName name="ExternalData_1" localSheetId="2" hidden="1">'105% 100p'!#REF!</definedName>
    <definedName name="ExternalData_1" localSheetId="1" hidden="1">'205% 150p'!#REF!</definedName>
    <definedName name="ExternalData_1" localSheetId="5" hidden="1">'40% 60p'!#REF!</definedName>
    <definedName name="ExternalData_1" localSheetId="4" hidden="1">'50% 80p '!#REF!</definedName>
    <definedName name="ExternalData_1" localSheetId="3" hidden="1">'80% 80p'!#REF!</definedName>
    <definedName name="ExternalData_1" localSheetId="6" hidden="1">'Create your own 1'!#REF!</definedName>
    <definedName name="ExternalData_1" localSheetId="7" hidden="1">'Create your own 2'!#REF!</definedName>
    <definedName name="ExternalData_1" localSheetId="0" hidden="1">'TOPUP CALC'!#REF!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0" l="1"/>
  <c r="R33" i="10"/>
  <c r="C32" i="10"/>
  <c r="R31" i="10"/>
  <c r="R29" i="10"/>
  <c r="C29" i="10"/>
  <c r="R27" i="10"/>
  <c r="E23" i="10"/>
  <c r="F17" i="10"/>
  <c r="C7" i="10"/>
  <c r="C9" i="10" s="1"/>
  <c r="C26" i="10" s="1"/>
  <c r="I6" i="10"/>
  <c r="L6" i="10" s="1"/>
  <c r="G6" i="10"/>
  <c r="E6" i="10"/>
  <c r="C37" i="9"/>
  <c r="R35" i="9"/>
  <c r="C35" i="9"/>
  <c r="R33" i="9"/>
  <c r="R31" i="9"/>
  <c r="R29" i="9"/>
  <c r="C29" i="9"/>
  <c r="R27" i="9"/>
  <c r="R37" i="9" s="1"/>
  <c r="E23" i="9"/>
  <c r="F17" i="9"/>
  <c r="C9" i="9"/>
  <c r="D9" i="9" s="1"/>
  <c r="C7" i="9"/>
  <c r="C32" i="9" s="1"/>
  <c r="I6" i="9"/>
  <c r="L6" i="9" s="1"/>
  <c r="H6" i="9"/>
  <c r="G6" i="9"/>
  <c r="G7" i="9" s="1"/>
  <c r="E6" i="9"/>
  <c r="R35" i="8"/>
  <c r="C35" i="8"/>
  <c r="R33" i="8"/>
  <c r="R31" i="8"/>
  <c r="R29" i="8"/>
  <c r="C29" i="8"/>
  <c r="R27" i="8"/>
  <c r="R37" i="8" s="1"/>
  <c r="E23" i="8"/>
  <c r="F17" i="8"/>
  <c r="Q6" i="8" s="1"/>
  <c r="C9" i="8"/>
  <c r="C26" i="8" s="1"/>
  <c r="D8" i="8"/>
  <c r="C7" i="8"/>
  <c r="C32" i="8" s="1"/>
  <c r="L6" i="8"/>
  <c r="M6" i="8" s="1"/>
  <c r="I6" i="8"/>
  <c r="H6" i="8"/>
  <c r="G6" i="8"/>
  <c r="G7" i="8" s="1"/>
  <c r="E6" i="8"/>
  <c r="D7" i="8" s="1"/>
  <c r="R35" i="6"/>
  <c r="C35" i="6"/>
  <c r="R33" i="6"/>
  <c r="C32" i="6"/>
  <c r="R31" i="6"/>
  <c r="R29" i="6"/>
  <c r="C29" i="6"/>
  <c r="R27" i="6"/>
  <c r="R37" i="6" s="1"/>
  <c r="E23" i="6"/>
  <c r="F17" i="6"/>
  <c r="C9" i="6"/>
  <c r="C26" i="6" s="1"/>
  <c r="D8" i="6"/>
  <c r="E8" i="6" s="1"/>
  <c r="C7" i="6"/>
  <c r="L6" i="6"/>
  <c r="I6" i="6"/>
  <c r="G6" i="6"/>
  <c r="G7" i="6" s="1"/>
  <c r="G8" i="6" s="1"/>
  <c r="E6" i="6"/>
  <c r="D7" i="6" s="1"/>
  <c r="R35" i="5"/>
  <c r="R33" i="5"/>
  <c r="C32" i="5"/>
  <c r="R31" i="5"/>
  <c r="R29" i="5"/>
  <c r="C29" i="5"/>
  <c r="R27" i="5"/>
  <c r="C26" i="5"/>
  <c r="E23" i="5"/>
  <c r="F17" i="5"/>
  <c r="C9" i="5"/>
  <c r="D7" i="5"/>
  <c r="E7" i="5" s="1"/>
  <c r="C7" i="5"/>
  <c r="I6" i="5"/>
  <c r="L6" i="5" s="1"/>
  <c r="M6" i="5" s="1"/>
  <c r="G6" i="5"/>
  <c r="C37" i="5" s="1"/>
  <c r="E6" i="5"/>
  <c r="D8" i="5" s="1"/>
  <c r="E8" i="5" s="1"/>
  <c r="R35" i="4"/>
  <c r="R33" i="4"/>
  <c r="R31" i="4"/>
  <c r="R29" i="4"/>
  <c r="C29" i="4"/>
  <c r="R27" i="4"/>
  <c r="R37" i="4" s="1"/>
  <c r="E23" i="4"/>
  <c r="F17" i="4"/>
  <c r="C9" i="4"/>
  <c r="C26" i="4" s="1"/>
  <c r="D8" i="4"/>
  <c r="E8" i="4" s="1"/>
  <c r="C7" i="4"/>
  <c r="C32" i="4" s="1"/>
  <c r="I6" i="4"/>
  <c r="L6" i="4" s="1"/>
  <c r="G6" i="4"/>
  <c r="G7" i="4" s="1"/>
  <c r="E6" i="4"/>
  <c r="R35" i="3"/>
  <c r="R33" i="3"/>
  <c r="R31" i="3"/>
  <c r="R29" i="3"/>
  <c r="C29" i="3"/>
  <c r="R27" i="3"/>
  <c r="R37" i="3" s="1"/>
  <c r="E23" i="3"/>
  <c r="F17" i="3"/>
  <c r="C7" i="3"/>
  <c r="D7" i="3" s="1"/>
  <c r="Q6" i="3"/>
  <c r="L6" i="3"/>
  <c r="I6" i="3"/>
  <c r="G6" i="3"/>
  <c r="C37" i="3" s="1"/>
  <c r="E6" i="3"/>
  <c r="E7" i="3" s="1"/>
  <c r="R35" i="2"/>
  <c r="R33" i="2"/>
  <c r="R31" i="2"/>
  <c r="R29" i="2"/>
  <c r="C29" i="2"/>
  <c r="R27" i="2"/>
  <c r="R37" i="2" s="1"/>
  <c r="E23" i="2"/>
  <c r="F17" i="2"/>
  <c r="C7" i="2"/>
  <c r="C32" i="2" s="1"/>
  <c r="I6" i="2"/>
  <c r="C35" i="2" s="1"/>
  <c r="G6" i="2"/>
  <c r="G7" i="2" s="1"/>
  <c r="E6" i="2"/>
  <c r="H6" i="2" l="1"/>
  <c r="C37" i="2"/>
  <c r="L6" i="2"/>
  <c r="J6" i="2"/>
  <c r="K6" i="2" s="1"/>
  <c r="L17" i="2" s="1"/>
  <c r="D8" i="2"/>
  <c r="E8" i="2" s="1"/>
  <c r="M6" i="2"/>
  <c r="C9" i="2"/>
  <c r="C26" i="2" s="1"/>
  <c r="D7" i="2"/>
  <c r="S7" i="2" s="1"/>
  <c r="R37" i="5"/>
  <c r="R37" i="10"/>
  <c r="J6" i="10"/>
  <c r="C39" i="10" s="1"/>
  <c r="S27" i="10" s="1"/>
  <c r="G7" i="10"/>
  <c r="F34" i="10" s="1"/>
  <c r="M6" i="10"/>
  <c r="E8" i="10"/>
  <c r="D9" i="10"/>
  <c r="D8" i="10"/>
  <c r="Q6" i="10"/>
  <c r="E9" i="10"/>
  <c r="C35" i="10"/>
  <c r="H6" i="10"/>
  <c r="D7" i="10"/>
  <c r="C37" i="10"/>
  <c r="J6" i="6"/>
  <c r="C39" i="6" s="1"/>
  <c r="S27" i="6" s="1"/>
  <c r="M6" i="6"/>
  <c r="J6" i="5"/>
  <c r="C39" i="5" s="1"/>
  <c r="S27" i="5" s="1"/>
  <c r="G7" i="5"/>
  <c r="G8" i="5" s="1"/>
  <c r="H6" i="5"/>
  <c r="S7" i="5"/>
  <c r="C35" i="4"/>
  <c r="Q6" i="4"/>
  <c r="M6" i="4"/>
  <c r="E9" i="9"/>
  <c r="F34" i="9"/>
  <c r="G8" i="9"/>
  <c r="D7" i="9"/>
  <c r="Q6" i="9"/>
  <c r="R6" i="9" s="1"/>
  <c r="J6" i="9"/>
  <c r="C26" i="9"/>
  <c r="E7" i="9"/>
  <c r="D8" i="9"/>
  <c r="M6" i="9"/>
  <c r="H8" i="8"/>
  <c r="S7" i="8"/>
  <c r="H7" i="8"/>
  <c r="F34" i="8"/>
  <c r="G8" i="8"/>
  <c r="E8" i="8"/>
  <c r="D9" i="8"/>
  <c r="E7" i="8"/>
  <c r="C37" i="8"/>
  <c r="J6" i="8"/>
  <c r="G9" i="6"/>
  <c r="H31" i="6"/>
  <c r="H7" i="6"/>
  <c r="S7" i="6"/>
  <c r="E7" i="6"/>
  <c r="H8" i="6"/>
  <c r="D9" i="6"/>
  <c r="F34" i="6"/>
  <c r="Q6" i="6"/>
  <c r="H6" i="6"/>
  <c r="C37" i="6"/>
  <c r="H31" i="5"/>
  <c r="G9" i="5"/>
  <c r="H8" i="5"/>
  <c r="D9" i="5"/>
  <c r="F34" i="5"/>
  <c r="Q6" i="5"/>
  <c r="C35" i="5"/>
  <c r="H7" i="5"/>
  <c r="F34" i="4"/>
  <c r="G8" i="4"/>
  <c r="H8" i="4"/>
  <c r="D9" i="4"/>
  <c r="H6" i="4"/>
  <c r="D7" i="4"/>
  <c r="E7" i="4" s="1"/>
  <c r="C37" i="4"/>
  <c r="J6" i="4"/>
  <c r="S7" i="3"/>
  <c r="G7" i="3"/>
  <c r="J6" i="3"/>
  <c r="C32" i="3"/>
  <c r="D8" i="3"/>
  <c r="M6" i="3"/>
  <c r="E8" i="3"/>
  <c r="C9" i="3"/>
  <c r="C26" i="3" s="1"/>
  <c r="D9" i="3"/>
  <c r="C35" i="3"/>
  <c r="H6" i="3"/>
  <c r="G8" i="2"/>
  <c r="F34" i="2"/>
  <c r="Q6" i="2"/>
  <c r="R6" i="2" s="1"/>
  <c r="C39" i="2" l="1"/>
  <c r="S27" i="2" s="1"/>
  <c r="H7" i="2"/>
  <c r="F7" i="2" s="1"/>
  <c r="D9" i="2"/>
  <c r="E9" i="2" s="1"/>
  <c r="E7" i="2"/>
  <c r="K6" i="10"/>
  <c r="L17" i="10" s="1"/>
  <c r="R6" i="10"/>
  <c r="G8" i="10"/>
  <c r="H8" i="10" s="1"/>
  <c r="H7" i="10"/>
  <c r="S7" i="10"/>
  <c r="E7" i="10"/>
  <c r="K6" i="6"/>
  <c r="L17" i="6" s="1"/>
  <c r="R6" i="6"/>
  <c r="R6" i="5"/>
  <c r="K6" i="5"/>
  <c r="L17" i="5" s="1"/>
  <c r="C39" i="9"/>
  <c r="S27" i="9" s="1"/>
  <c r="K6" i="9"/>
  <c r="L17" i="9" s="1"/>
  <c r="H7" i="9"/>
  <c r="S7" i="9"/>
  <c r="H31" i="9"/>
  <c r="G9" i="9"/>
  <c r="H8" i="9"/>
  <c r="E8" i="9"/>
  <c r="O6" i="8"/>
  <c r="F8" i="8"/>
  <c r="H31" i="8"/>
  <c r="G9" i="8"/>
  <c r="F7" i="8"/>
  <c r="N6" i="8"/>
  <c r="C39" i="8"/>
  <c r="S27" i="8" s="1"/>
  <c r="K6" i="8"/>
  <c r="L17" i="8" s="1"/>
  <c r="E9" i="8"/>
  <c r="R6" i="8"/>
  <c r="K28" i="6"/>
  <c r="F7" i="6"/>
  <c r="N6" i="6"/>
  <c r="F8" i="6"/>
  <c r="O6" i="6"/>
  <c r="E9" i="6"/>
  <c r="H9" i="6"/>
  <c r="H9" i="5"/>
  <c r="E9" i="5"/>
  <c r="O6" i="5"/>
  <c r="F8" i="5"/>
  <c r="N6" i="5"/>
  <c r="F7" i="5"/>
  <c r="K28" i="5"/>
  <c r="E9" i="4"/>
  <c r="H9" i="4"/>
  <c r="F8" i="4"/>
  <c r="O6" i="4"/>
  <c r="H31" i="4"/>
  <c r="G9" i="4"/>
  <c r="K6" i="4"/>
  <c r="L17" i="4" s="1"/>
  <c r="C39" i="4"/>
  <c r="S27" i="4" s="1"/>
  <c r="S7" i="4"/>
  <c r="H7" i="4"/>
  <c r="R6" i="4"/>
  <c r="E9" i="3"/>
  <c r="C39" i="3"/>
  <c r="S27" i="3" s="1"/>
  <c r="K6" i="3"/>
  <c r="L17" i="3" s="1"/>
  <c r="F34" i="3"/>
  <c r="G8" i="3"/>
  <c r="H7" i="3"/>
  <c r="H8" i="3"/>
  <c r="R6" i="3"/>
  <c r="H8" i="2"/>
  <c r="H31" i="2"/>
  <c r="G9" i="2"/>
  <c r="N6" i="2" l="1"/>
  <c r="N3" i="2" s="1"/>
  <c r="N4" i="2" s="1"/>
  <c r="I7" i="2" s="1"/>
  <c r="D32" i="2" s="1"/>
  <c r="O6" i="10"/>
  <c r="F8" i="10"/>
  <c r="G9" i="10"/>
  <c r="H31" i="10"/>
  <c r="K28" i="10"/>
  <c r="H9" i="10"/>
  <c r="F7" i="10"/>
  <c r="N6" i="10"/>
  <c r="N6" i="9"/>
  <c r="F7" i="9"/>
  <c r="F8" i="9"/>
  <c r="O6" i="9"/>
  <c r="K28" i="9"/>
  <c r="H9" i="9"/>
  <c r="K28" i="8"/>
  <c r="H9" i="8"/>
  <c r="N3" i="8"/>
  <c r="N4" i="8" s="1"/>
  <c r="I7" i="8" s="1"/>
  <c r="F9" i="6"/>
  <c r="P6" i="6"/>
  <c r="N3" i="6"/>
  <c r="N4" i="6" s="1"/>
  <c r="I7" i="6" s="1"/>
  <c r="P7" i="6" s="1"/>
  <c r="F9" i="5"/>
  <c r="P6" i="5"/>
  <c r="N3" i="5"/>
  <c r="N4" i="5" s="1"/>
  <c r="I7" i="5" s="1"/>
  <c r="P7" i="5" s="1"/>
  <c r="F9" i="4"/>
  <c r="P6" i="4"/>
  <c r="N6" i="4"/>
  <c r="F7" i="4"/>
  <c r="K28" i="4"/>
  <c r="N6" i="3"/>
  <c r="F7" i="3"/>
  <c r="O6" i="3"/>
  <c r="F8" i="3"/>
  <c r="H31" i="3"/>
  <c r="G9" i="3"/>
  <c r="O6" i="2"/>
  <c r="F8" i="2"/>
  <c r="K28" i="2"/>
  <c r="H9" i="2"/>
  <c r="J7" i="2" l="1"/>
  <c r="N7" i="2"/>
  <c r="N10" i="2" s="1"/>
  <c r="O7" i="2"/>
  <c r="S8" i="2"/>
  <c r="Q7" i="2"/>
  <c r="R7" i="2" s="1"/>
  <c r="L7" i="2"/>
  <c r="M7" i="2" s="1"/>
  <c r="N3" i="10"/>
  <c r="N4" i="10" s="1"/>
  <c r="I7" i="10" s="1"/>
  <c r="P7" i="10" s="1"/>
  <c r="F9" i="10"/>
  <c r="P6" i="10"/>
  <c r="N3" i="9"/>
  <c r="N4" i="9" s="1"/>
  <c r="I7" i="9" s="1"/>
  <c r="P6" i="9"/>
  <c r="F9" i="9"/>
  <c r="P7" i="8"/>
  <c r="F9" i="8"/>
  <c r="P6" i="8"/>
  <c r="D32" i="8"/>
  <c r="N7" i="8"/>
  <c r="N10" i="8" s="1"/>
  <c r="L7" i="8"/>
  <c r="M7" i="8" s="1"/>
  <c r="J7" i="8"/>
  <c r="Q7" i="8"/>
  <c r="R7" i="8" s="1"/>
  <c r="O7" i="8"/>
  <c r="S8" i="8"/>
  <c r="D32" i="6"/>
  <c r="N7" i="6"/>
  <c r="N10" i="6" s="1"/>
  <c r="L7" i="6"/>
  <c r="J7" i="6"/>
  <c r="Q7" i="6"/>
  <c r="R7" i="6" s="1"/>
  <c r="S8" i="6"/>
  <c r="O7" i="6"/>
  <c r="M7" i="6"/>
  <c r="D32" i="5"/>
  <c r="N7" i="5"/>
  <c r="N10" i="5" s="1"/>
  <c r="L7" i="5"/>
  <c r="M7" i="5" s="1"/>
  <c r="S8" i="5"/>
  <c r="J7" i="5"/>
  <c r="Q7" i="5"/>
  <c r="R7" i="5" s="1"/>
  <c r="O7" i="5"/>
  <c r="N3" i="4"/>
  <c r="N4" i="4" s="1"/>
  <c r="I7" i="4" s="1"/>
  <c r="N3" i="3"/>
  <c r="N4" i="3" s="1"/>
  <c r="I7" i="3" s="1"/>
  <c r="K28" i="3"/>
  <c r="H9" i="3"/>
  <c r="P7" i="2"/>
  <c r="F9" i="2"/>
  <c r="P6" i="2"/>
  <c r="O3" i="2"/>
  <c r="O4" i="2" s="1"/>
  <c r="I8" i="2" s="1"/>
  <c r="E36" i="2"/>
  <c r="S29" i="2" s="1"/>
  <c r="K7" i="2"/>
  <c r="N7" i="10" l="1"/>
  <c r="N10" i="10" s="1"/>
  <c r="D32" i="10"/>
  <c r="L7" i="10"/>
  <c r="S8" i="10"/>
  <c r="Q7" i="10"/>
  <c r="R7" i="10" s="1"/>
  <c r="J7" i="10"/>
  <c r="O7" i="10"/>
  <c r="M7" i="10"/>
  <c r="D32" i="9"/>
  <c r="L7" i="9"/>
  <c r="M7" i="9" s="1"/>
  <c r="N7" i="9"/>
  <c r="N10" i="9" s="1"/>
  <c r="Q7" i="9"/>
  <c r="R7" i="9" s="1"/>
  <c r="J7" i="9"/>
  <c r="O7" i="9"/>
  <c r="S8" i="9"/>
  <c r="P7" i="9"/>
  <c r="E36" i="8"/>
  <c r="S29" i="8" s="1"/>
  <c r="K7" i="8"/>
  <c r="O3" i="8"/>
  <c r="O4" i="8" s="1"/>
  <c r="I8" i="8" s="1"/>
  <c r="O3" i="6"/>
  <c r="O4" i="6" s="1"/>
  <c r="I8" i="6" s="1"/>
  <c r="K7" i="6"/>
  <c r="E36" i="6"/>
  <c r="S29" i="6" s="1"/>
  <c r="E36" i="5"/>
  <c r="S29" i="5" s="1"/>
  <c r="K7" i="5"/>
  <c r="O3" i="5"/>
  <c r="O4" i="5" s="1"/>
  <c r="I8" i="5" s="1"/>
  <c r="D32" i="4"/>
  <c r="N7" i="4"/>
  <c r="N10" i="4" s="1"/>
  <c r="L7" i="4"/>
  <c r="Q7" i="4"/>
  <c r="R7" i="4" s="1"/>
  <c r="S8" i="4"/>
  <c r="J7" i="4"/>
  <c r="M7" i="4"/>
  <c r="O7" i="4"/>
  <c r="P7" i="4"/>
  <c r="P7" i="3"/>
  <c r="F9" i="3"/>
  <c r="P6" i="3"/>
  <c r="N7" i="3"/>
  <c r="N10" i="3" s="1"/>
  <c r="L7" i="3"/>
  <c r="M7" i="3" s="1"/>
  <c r="D32" i="3"/>
  <c r="S8" i="3"/>
  <c r="Q7" i="3"/>
  <c r="R7" i="3" s="1"/>
  <c r="J7" i="3"/>
  <c r="O7" i="3"/>
  <c r="O8" i="2"/>
  <c r="O10" i="2" s="1"/>
  <c r="L8" i="2"/>
  <c r="M8" i="2" s="1"/>
  <c r="G29" i="2"/>
  <c r="S9" i="2"/>
  <c r="J8" i="2"/>
  <c r="Q8" i="2"/>
  <c r="R8" i="2" s="1"/>
  <c r="P8" i="2"/>
  <c r="P3" i="2" s="1"/>
  <c r="P4" i="2" s="1"/>
  <c r="I9" i="2" s="1"/>
  <c r="E36" i="10" l="1"/>
  <c r="S29" i="10" s="1"/>
  <c r="K7" i="10"/>
  <c r="O3" i="10"/>
  <c r="O4" i="10" s="1"/>
  <c r="I8" i="10" s="1"/>
  <c r="O3" i="9"/>
  <c r="O4" i="9" s="1"/>
  <c r="I8" i="9" s="1"/>
  <c r="K7" i="9"/>
  <c r="E36" i="9"/>
  <c r="S29" i="9" s="1"/>
  <c r="L8" i="8"/>
  <c r="M8" i="8" s="1"/>
  <c r="O8" i="8"/>
  <c r="O10" i="8" s="1"/>
  <c r="G29" i="8"/>
  <c r="S9" i="8"/>
  <c r="J8" i="8"/>
  <c r="P8" i="8"/>
  <c r="Q8" i="8"/>
  <c r="R8" i="8" s="1"/>
  <c r="O8" i="6"/>
  <c r="O10" i="6" s="1"/>
  <c r="L8" i="6"/>
  <c r="M8" i="6" s="1"/>
  <c r="G29" i="6"/>
  <c r="J8" i="6"/>
  <c r="S9" i="6"/>
  <c r="P8" i="6"/>
  <c r="Q8" i="6"/>
  <c r="R8" i="6" s="1"/>
  <c r="L8" i="5"/>
  <c r="O8" i="5"/>
  <c r="O10" i="5" s="1"/>
  <c r="G29" i="5"/>
  <c r="J8" i="5"/>
  <c r="M8" i="5"/>
  <c r="S9" i="5"/>
  <c r="P8" i="5"/>
  <c r="Q8" i="5"/>
  <c r="R8" i="5" s="1"/>
  <c r="O3" i="4"/>
  <c r="O4" i="4" s="1"/>
  <c r="I8" i="4" s="1"/>
  <c r="E36" i="4"/>
  <c r="S29" i="4" s="1"/>
  <c r="K7" i="4"/>
  <c r="E36" i="3"/>
  <c r="S29" i="3" s="1"/>
  <c r="K7" i="3"/>
  <c r="O3" i="3"/>
  <c r="O4" i="3" s="1"/>
  <c r="I8" i="3" s="1"/>
  <c r="L9" i="2"/>
  <c r="M9" i="2" s="1"/>
  <c r="M10" i="2" s="1"/>
  <c r="M11" i="2" s="1"/>
  <c r="J26" i="2"/>
  <c r="J9" i="2"/>
  <c r="P9" i="2"/>
  <c r="P10" i="2" s="1"/>
  <c r="H33" i="2"/>
  <c r="S31" i="2" s="1"/>
  <c r="K8" i="2"/>
  <c r="I10" i="2"/>
  <c r="Q9" i="2"/>
  <c r="R9" i="2" s="1"/>
  <c r="R11" i="2" s="1"/>
  <c r="O8" i="10" l="1"/>
  <c r="O10" i="10" s="1"/>
  <c r="L8" i="10"/>
  <c r="M8" i="10" s="1"/>
  <c r="G29" i="10"/>
  <c r="J8" i="10"/>
  <c r="S9" i="10"/>
  <c r="P8" i="10"/>
  <c r="Q8" i="10"/>
  <c r="R8" i="10" s="1"/>
  <c r="O8" i="9"/>
  <c r="O10" i="9" s="1"/>
  <c r="G29" i="9"/>
  <c r="L8" i="9"/>
  <c r="S9" i="9"/>
  <c r="J8" i="9"/>
  <c r="M8" i="9"/>
  <c r="P8" i="9"/>
  <c r="Q8" i="9"/>
  <c r="R8" i="9" s="1"/>
  <c r="K8" i="8"/>
  <c r="H33" i="8"/>
  <c r="S31" i="8" s="1"/>
  <c r="P3" i="8"/>
  <c r="P4" i="8" s="1"/>
  <c r="I9" i="8" s="1"/>
  <c r="H33" i="6"/>
  <c r="S31" i="6" s="1"/>
  <c r="K8" i="6"/>
  <c r="P3" i="6"/>
  <c r="P4" i="6" s="1"/>
  <c r="I9" i="6" s="1"/>
  <c r="H33" i="5"/>
  <c r="S31" i="5" s="1"/>
  <c r="K8" i="5"/>
  <c r="P3" i="5"/>
  <c r="P4" i="5" s="1"/>
  <c r="I9" i="5" s="1"/>
  <c r="O8" i="4"/>
  <c r="O10" i="4" s="1"/>
  <c r="L8" i="4"/>
  <c r="G29" i="4"/>
  <c r="M8" i="4"/>
  <c r="J8" i="4"/>
  <c r="S9" i="4"/>
  <c r="P8" i="4"/>
  <c r="Q8" i="4"/>
  <c r="R8" i="4" s="1"/>
  <c r="L8" i="3"/>
  <c r="M8" i="3" s="1"/>
  <c r="G29" i="3"/>
  <c r="O8" i="3"/>
  <c r="O10" i="3" s="1"/>
  <c r="S9" i="3"/>
  <c r="J8" i="3"/>
  <c r="Q8" i="3"/>
  <c r="R8" i="3" s="1"/>
  <c r="P8" i="3"/>
  <c r="N23" i="2"/>
  <c r="S35" i="2" s="1"/>
  <c r="M17" i="2"/>
  <c r="N17" i="2" s="1"/>
  <c r="K17" i="2"/>
  <c r="E11" i="2"/>
  <c r="O17" i="2" s="1"/>
  <c r="K9" i="2"/>
  <c r="K30" i="2"/>
  <c r="S33" i="2" s="1"/>
  <c r="S37" i="2" s="1"/>
  <c r="S38" i="2" s="1"/>
  <c r="P3" i="10" l="1"/>
  <c r="P4" i="10" s="1"/>
  <c r="I9" i="10" s="1"/>
  <c r="K8" i="10"/>
  <c r="H33" i="10"/>
  <c r="S31" i="10" s="1"/>
  <c r="H33" i="9"/>
  <c r="S31" i="9" s="1"/>
  <c r="K8" i="9"/>
  <c r="P3" i="9"/>
  <c r="P4" i="9" s="1"/>
  <c r="I9" i="9" s="1"/>
  <c r="J26" i="8"/>
  <c r="L9" i="8"/>
  <c r="M9" i="8" s="1"/>
  <c r="M10" i="8" s="1"/>
  <c r="J9" i="8"/>
  <c r="P9" i="8"/>
  <c r="P10" i="8" s="1"/>
  <c r="Q9" i="8"/>
  <c r="R9" i="8" s="1"/>
  <c r="I10" i="8"/>
  <c r="L9" i="6"/>
  <c r="M9" i="6" s="1"/>
  <c r="M10" i="6" s="1"/>
  <c r="J26" i="6"/>
  <c r="J9" i="6"/>
  <c r="P9" i="6"/>
  <c r="P10" i="6" s="1"/>
  <c r="Q9" i="6"/>
  <c r="R9" i="6" s="1"/>
  <c r="I10" i="6"/>
  <c r="J26" i="5"/>
  <c r="L9" i="5"/>
  <c r="J9" i="5"/>
  <c r="P9" i="5"/>
  <c r="P10" i="5" s="1"/>
  <c r="M9" i="5"/>
  <c r="M10" i="5" s="1"/>
  <c r="Q9" i="5"/>
  <c r="R9" i="5" s="1"/>
  <c r="I10" i="5"/>
  <c r="P3" i="4"/>
  <c r="P4" i="4" s="1"/>
  <c r="I9" i="4" s="1"/>
  <c r="H33" i="4"/>
  <c r="S31" i="4" s="1"/>
  <c r="K8" i="4"/>
  <c r="P3" i="3"/>
  <c r="P4" i="3" s="1"/>
  <c r="I9" i="3" s="1"/>
  <c r="K8" i="3"/>
  <c r="H33" i="3"/>
  <c r="S31" i="3" s="1"/>
  <c r="L9" i="10" l="1"/>
  <c r="M9" i="10" s="1"/>
  <c r="M10" i="10" s="1"/>
  <c r="J26" i="10"/>
  <c r="J9" i="10"/>
  <c r="P9" i="10"/>
  <c r="P10" i="10" s="1"/>
  <c r="Q9" i="10"/>
  <c r="R9" i="10" s="1"/>
  <c r="I10" i="10"/>
  <c r="L9" i="9"/>
  <c r="J26" i="9"/>
  <c r="M9" i="9"/>
  <c r="M10" i="9" s="1"/>
  <c r="J9" i="9"/>
  <c r="P9" i="9"/>
  <c r="P10" i="9" s="1"/>
  <c r="I10" i="9"/>
  <c r="Q9" i="9"/>
  <c r="R9" i="9" s="1"/>
  <c r="M17" i="8"/>
  <c r="N17" i="8" s="1"/>
  <c r="N23" i="8"/>
  <c r="S35" i="8" s="1"/>
  <c r="M11" i="8"/>
  <c r="K17" i="8"/>
  <c r="E11" i="8"/>
  <c r="O17" i="8" s="1"/>
  <c r="R11" i="8"/>
  <c r="K9" i="8"/>
  <c r="K30" i="8"/>
  <c r="S33" i="8" s="1"/>
  <c r="R11" i="6"/>
  <c r="E11" i="6"/>
  <c r="O17" i="6" s="1"/>
  <c r="M11" i="6"/>
  <c r="N23" i="6"/>
  <c r="S35" i="6" s="1"/>
  <c r="M17" i="6"/>
  <c r="N17" i="6" s="1"/>
  <c r="K17" i="6"/>
  <c r="K30" i="6"/>
  <c r="S33" i="6" s="1"/>
  <c r="K9" i="6"/>
  <c r="R11" i="5"/>
  <c r="E11" i="5"/>
  <c r="O17" i="5" s="1"/>
  <c r="M11" i="5"/>
  <c r="N23" i="5"/>
  <c r="S35" i="5" s="1"/>
  <c r="K17" i="5"/>
  <c r="M17" i="5"/>
  <c r="N17" i="5" s="1"/>
  <c r="K9" i="5"/>
  <c r="K30" i="5"/>
  <c r="S33" i="5" s="1"/>
  <c r="J26" i="4"/>
  <c r="L9" i="4"/>
  <c r="M9" i="4" s="1"/>
  <c r="M10" i="4" s="1"/>
  <c r="J9" i="4"/>
  <c r="P9" i="4"/>
  <c r="P10" i="4" s="1"/>
  <c r="Q9" i="4"/>
  <c r="R9" i="4" s="1"/>
  <c r="I10" i="4"/>
  <c r="L9" i="3"/>
  <c r="M9" i="3" s="1"/>
  <c r="M10" i="3" s="1"/>
  <c r="J26" i="3"/>
  <c r="J9" i="3"/>
  <c r="P9" i="3"/>
  <c r="P10" i="3" s="1"/>
  <c r="I10" i="3"/>
  <c r="Q9" i="3"/>
  <c r="R9" i="3" s="1"/>
  <c r="E11" i="10" l="1"/>
  <c r="O17" i="10" s="1"/>
  <c r="R11" i="10"/>
  <c r="N23" i="10"/>
  <c r="S35" i="10" s="1"/>
  <c r="M17" i="10"/>
  <c r="N17" i="10" s="1"/>
  <c r="K17" i="10"/>
  <c r="M11" i="10"/>
  <c r="K30" i="10"/>
  <c r="S33" i="10" s="1"/>
  <c r="K9" i="10"/>
  <c r="M11" i="9"/>
  <c r="N23" i="9"/>
  <c r="S35" i="9" s="1"/>
  <c r="S37" i="9" s="1"/>
  <c r="S38" i="9" s="1"/>
  <c r="M17" i="9"/>
  <c r="N17" i="9" s="1"/>
  <c r="K17" i="9"/>
  <c r="R11" i="9"/>
  <c r="E11" i="9"/>
  <c r="O17" i="9" s="1"/>
  <c r="K9" i="9"/>
  <c r="K30" i="9"/>
  <c r="S33" i="9" s="1"/>
  <c r="S37" i="8"/>
  <c r="S38" i="8" s="1"/>
  <c r="S37" i="6"/>
  <c r="S38" i="6" s="1"/>
  <c r="S37" i="5"/>
  <c r="S38" i="5" s="1"/>
  <c r="E11" i="4"/>
  <c r="O17" i="4" s="1"/>
  <c r="R11" i="4"/>
  <c r="M17" i="4"/>
  <c r="N17" i="4" s="1"/>
  <c r="N23" i="4"/>
  <c r="S35" i="4" s="1"/>
  <c r="M11" i="4"/>
  <c r="K17" i="4"/>
  <c r="K9" i="4"/>
  <c r="K30" i="4"/>
  <c r="S33" i="4" s="1"/>
  <c r="N23" i="3"/>
  <c r="S35" i="3" s="1"/>
  <c r="M17" i="3"/>
  <c r="N17" i="3" s="1"/>
  <c r="K17" i="3"/>
  <c r="M11" i="3"/>
  <c r="R11" i="3"/>
  <c r="E11" i="3"/>
  <c r="O17" i="3" s="1"/>
  <c r="K30" i="3"/>
  <c r="S33" i="3" s="1"/>
  <c r="K9" i="3"/>
  <c r="S37" i="10" l="1"/>
  <c r="S38" i="10" s="1"/>
  <c r="S37" i="4"/>
  <c r="S38" i="4" s="1"/>
  <c r="S37" i="3"/>
  <c r="S38" i="3" s="1"/>
</calcChain>
</file>

<file path=xl/sharedStrings.xml><?xml version="1.0" encoding="utf-8"?>
<sst xmlns="http://schemas.openxmlformats.org/spreadsheetml/2006/main" count="584" uniqueCount="68">
  <si>
    <t>TOPUP CALCULATOR</t>
  </si>
  <si>
    <t>You can only enter values into the YELLOW BLOCK below</t>
  </si>
  <si>
    <t>Calculations</t>
  </si>
  <si>
    <t>Leverage 1:</t>
  </si>
  <si>
    <t>Financial</t>
  </si>
  <si>
    <t>Pips</t>
  </si>
  <si>
    <t>TP</t>
  </si>
  <si>
    <t>SL%</t>
  </si>
  <si>
    <t>SL</t>
  </si>
  <si>
    <t>SL Level</t>
  </si>
  <si>
    <t>lots</t>
  </si>
  <si>
    <t>Risk</t>
  </si>
  <si>
    <t>Spreads</t>
  </si>
  <si>
    <t>target</t>
  </si>
  <si>
    <t>tu1 stop</t>
  </si>
  <si>
    <t>tu 2 stop</t>
  </si>
  <si>
    <t>tu3 stop</t>
  </si>
  <si>
    <t>Margin</t>
  </si>
  <si>
    <t>Exposure</t>
  </si>
  <si>
    <t>Topup gains</t>
  </si>
  <si>
    <t>Initial</t>
  </si>
  <si>
    <t>TopUp 1</t>
  </si>
  <si>
    <t>TopUp 2</t>
  </si>
  <si>
    <t>TopUp 3</t>
  </si>
  <si>
    <t>INPUTS &amp; RESULTS</t>
  </si>
  <si>
    <t>Account  variable</t>
  </si>
  <si>
    <t>Trading Inputs</t>
  </si>
  <si>
    <t>RESULTS</t>
  </si>
  <si>
    <t>A/C Size</t>
  </si>
  <si>
    <t>Pip value</t>
  </si>
  <si>
    <t>Leverage</t>
  </si>
  <si>
    <t>Spread</t>
  </si>
  <si>
    <t>margin</t>
  </si>
  <si>
    <t>1st Topup L</t>
  </si>
  <si>
    <t>Take profit</t>
  </si>
  <si>
    <t>Stop loss</t>
  </si>
  <si>
    <t>Initial Lots</t>
  </si>
  <si>
    <t>Return</t>
  </si>
  <si>
    <t>Return %</t>
  </si>
  <si>
    <t>RR Ratio</t>
  </si>
  <si>
    <t>Strategy status</t>
  </si>
  <si>
    <t>Potential Strategy Outcomes</t>
  </si>
  <si>
    <t>Initial stopout</t>
  </si>
  <si>
    <t>1st topup stopout</t>
  </si>
  <si>
    <t>2nd topup stopout</t>
  </si>
  <si>
    <t>3rd topup stopout</t>
  </si>
  <si>
    <t>SUCCESS!</t>
  </si>
  <si>
    <t>Success calculaor</t>
  </si>
  <si>
    <t xml:space="preserve">Target </t>
  </si>
  <si>
    <t>pips</t>
  </si>
  <si>
    <t>(Based on</t>
  </si>
  <si>
    <t>trades)</t>
  </si>
  <si>
    <t xml:space="preserve">% </t>
  </si>
  <si>
    <t>#</t>
  </si>
  <si>
    <t>Result</t>
  </si>
  <si>
    <t>3rd Topup</t>
  </si>
  <si>
    <t>Lots</t>
  </si>
  <si>
    <t>Initial stop</t>
  </si>
  <si>
    <t>2nd Topup</t>
  </si>
  <si>
    <t>1st TU stop</t>
  </si>
  <si>
    <t>2nd TU stop</t>
  </si>
  <si>
    <t>1st Topup</t>
  </si>
  <si>
    <t>3rd TU stop</t>
  </si>
  <si>
    <t>Initial Entry</t>
  </si>
  <si>
    <t>SUCCESS</t>
  </si>
  <si>
    <t>TOTAL</t>
  </si>
  <si>
    <t>Initial Stop</t>
  </si>
  <si>
    <t>New Act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</si>
</sst>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%"/>
    <numFmt numFmtId="167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8"/>
      <color theme="0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11"/>
      <color theme="7" tint="0.59999389629810485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 tint="-0.14999847407452621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3" borderId="2" xfId="0" applyFont="1" applyFill="1" applyBorder="1"/>
    <xf numFmtId="0" fontId="8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164" fontId="11" fillId="0" borderId="0" xfId="0" applyNumberFormat="1" applyFont="1"/>
    <xf numFmtId="165" fontId="11" fillId="0" borderId="0" xfId="0" applyNumberFormat="1" applyFont="1"/>
    <xf numFmtId="0" fontId="13" fillId="0" borderId="0" xfId="0" applyFont="1"/>
    <xf numFmtId="0" fontId="4" fillId="0" borderId="0" xfId="0" applyFont="1"/>
    <xf numFmtId="164" fontId="8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164" fontId="0" fillId="5" borderId="0" xfId="0" applyNumberFormat="1" applyFill="1"/>
    <xf numFmtId="166" fontId="0" fillId="5" borderId="0" xfId="1" applyNumberFormat="1" applyFont="1" applyFill="1"/>
    <xf numFmtId="164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6" borderId="0" xfId="0" applyFill="1"/>
    <xf numFmtId="166" fontId="0" fillId="0" borderId="0" xfId="1" applyNumberFormat="1" applyFont="1"/>
    <xf numFmtId="2" fontId="3" fillId="0" borderId="0" xfId="0" applyNumberFormat="1" applyFont="1"/>
    <xf numFmtId="164" fontId="3" fillId="0" borderId="0" xfId="0" applyNumberFormat="1" applyFont="1"/>
    <xf numFmtId="9" fontId="3" fillId="0" borderId="0" xfId="1" applyFont="1" applyFill="1"/>
    <xf numFmtId="0" fontId="0" fillId="5" borderId="0" xfId="0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/>
    <xf numFmtId="0" fontId="14" fillId="0" borderId="0" xfId="0" applyFont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164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9" fontId="3" fillId="5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0" fontId="3" fillId="5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0" fillId="9" borderId="6" xfId="0" applyFill="1" applyBorder="1"/>
    <xf numFmtId="0" fontId="0" fillId="9" borderId="0" xfId="0" applyFill="1"/>
    <xf numFmtId="0" fontId="0" fillId="9" borderId="1" xfId="0" applyFill="1" applyBorder="1"/>
    <xf numFmtId="0" fontId="17" fillId="0" borderId="0" xfId="0" applyFont="1"/>
    <xf numFmtId="9" fontId="10" fillId="10" borderId="7" xfId="0" applyNumberFormat="1" applyFont="1" applyFill="1" applyBorder="1" applyAlignment="1">
      <alignment horizontal="center"/>
    </xf>
    <xf numFmtId="0" fontId="17" fillId="0" borderId="7" xfId="0" applyFont="1" applyBorder="1"/>
    <xf numFmtId="164" fontId="17" fillId="0" borderId="7" xfId="0" applyNumberFormat="1" applyFont="1" applyBorder="1"/>
    <xf numFmtId="0" fontId="3" fillId="9" borderId="6" xfId="0" applyFont="1" applyFill="1" applyBorder="1"/>
    <xf numFmtId="0" fontId="3" fillId="9" borderId="0" xfId="0" applyFont="1" applyFill="1" applyAlignment="1">
      <alignment horizontal="center"/>
    </xf>
    <xf numFmtId="0" fontId="3" fillId="9" borderId="1" xfId="0" applyFont="1" applyFill="1" applyBorder="1"/>
    <xf numFmtId="0" fontId="10" fillId="0" borderId="0" xfId="0" applyFont="1" applyAlignment="1">
      <alignment horizontal="center"/>
    </xf>
    <xf numFmtId="0" fontId="3" fillId="9" borderId="0" xfId="0" applyFont="1" applyFill="1"/>
    <xf numFmtId="0" fontId="18" fillId="9" borderId="0" xfId="0" applyFont="1" applyFill="1" applyAlignment="1">
      <alignment horizontal="center"/>
    </xf>
    <xf numFmtId="0" fontId="18" fillId="9" borderId="1" xfId="0" applyFont="1" applyFill="1" applyBorder="1" applyAlignment="1">
      <alignment horizontal="center"/>
    </xf>
    <xf numFmtId="2" fontId="17" fillId="11" borderId="7" xfId="0" applyNumberFormat="1" applyFont="1" applyFill="1" applyBorder="1"/>
    <xf numFmtId="0" fontId="17" fillId="11" borderId="7" xfId="0" applyFont="1" applyFill="1" applyBorder="1"/>
    <xf numFmtId="0" fontId="19" fillId="9" borderId="6" xfId="0" applyFont="1" applyFill="1" applyBorder="1"/>
    <xf numFmtId="9" fontId="3" fillId="9" borderId="0" xfId="0" applyNumberFormat="1" applyFont="1" applyFill="1" applyAlignment="1">
      <alignment horizontal="center"/>
    </xf>
    <xf numFmtId="1" fontId="20" fillId="9" borderId="0" xfId="0" applyNumberFormat="1" applyFont="1" applyFill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3" fillId="9" borderId="1" xfId="0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1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1" fontId="19" fillId="9" borderId="0" xfId="0" applyNumberFormat="1" applyFont="1" applyFill="1" applyAlignment="1">
      <alignment horizontal="center" vertical="center"/>
    </xf>
    <xf numFmtId="0" fontId="19" fillId="0" borderId="0" xfId="0" applyFont="1"/>
    <xf numFmtId="0" fontId="3" fillId="9" borderId="8" xfId="0" applyFont="1" applyFill="1" applyBorder="1"/>
    <xf numFmtId="0" fontId="3" fillId="9" borderId="9" xfId="0" applyFont="1" applyFill="1" applyBorder="1"/>
    <xf numFmtId="9" fontId="3" fillId="9" borderId="10" xfId="0" applyNumberFormat="1" applyFont="1" applyFill="1" applyBorder="1" applyAlignment="1">
      <alignment horizontal="center"/>
    </xf>
    <xf numFmtId="164" fontId="17" fillId="0" borderId="0" xfId="0" applyNumberFormat="1" applyFont="1"/>
    <xf numFmtId="164" fontId="0" fillId="3" borderId="0" xfId="0" applyNumberFormat="1" applyFill="1" applyAlignment="1" applyProtection="1">
      <alignment horizontal="center"/>
      <protection locked="0"/>
    </xf>
    <xf numFmtId="9" fontId="0" fillId="3" borderId="0" xfId="0" applyNumberFormat="1" applyFill="1" applyAlignment="1" applyProtection="1">
      <alignment horizontal="center"/>
      <protection locked="0"/>
    </xf>
    <xf numFmtId="2" fontId="0" fillId="3" borderId="0" xfId="0" applyNumberFormat="1" applyFill="1" applyAlignment="1" applyProtection="1">
      <alignment horizontal="left" indent="2"/>
      <protection locked="0"/>
    </xf>
    <xf numFmtId="0" fontId="7" fillId="0" borderId="0" xfId="0" applyFont="1"/>
    <xf numFmtId="0" fontId="0" fillId="3" borderId="0" xfId="0" applyFill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7" fillId="0" borderId="0" xfId="1" applyNumberFormat="1" applyFont="1" applyFill="1"/>
    <xf numFmtId="165" fontId="0" fillId="3" borderId="0" xfId="0" applyNumberFormat="1" applyFill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left" indent="2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8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045E53B-720E-4019-A230-2DFC6FB7B251}"/>
            </a:ext>
          </a:extLst>
        </xdr:cNvPr>
        <xdr:cNvCxnSpPr/>
      </xdr:nvCxnSpPr>
      <xdr:spPr>
        <a:xfrm>
          <a:off x="12477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0E0B0AF-893E-4AF6-9F31-AAC78AEA90D9}"/>
            </a:ext>
          </a:extLst>
        </xdr:cNvPr>
        <xdr:cNvCxnSpPr/>
      </xdr:nvCxnSpPr>
      <xdr:spPr>
        <a:xfrm>
          <a:off x="28575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8837DFF-3195-408A-8470-C5826EE70D00}"/>
            </a:ext>
          </a:extLst>
        </xdr:cNvPr>
        <xdr:cNvCxnSpPr/>
      </xdr:nvCxnSpPr>
      <xdr:spPr>
        <a:xfrm flipV="1">
          <a:off x="24669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866C58E-8C65-4996-A07C-4BE3A98C4DD2}"/>
            </a:ext>
          </a:extLst>
        </xdr:cNvPr>
        <xdr:cNvCxnSpPr/>
      </xdr:nvCxnSpPr>
      <xdr:spPr>
        <a:xfrm flipV="1">
          <a:off x="36004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ACC9D76-9AEB-4EC8-A21C-205180B27F73}"/>
            </a:ext>
          </a:extLst>
        </xdr:cNvPr>
        <xdr:cNvCxnSpPr/>
      </xdr:nvCxnSpPr>
      <xdr:spPr>
        <a:xfrm>
          <a:off x="43529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8DE17C-4F1F-4026-A66A-B881560C8CEF}"/>
            </a:ext>
          </a:extLst>
        </xdr:cNvPr>
        <xdr:cNvCxnSpPr/>
      </xdr:nvCxnSpPr>
      <xdr:spPr>
        <a:xfrm flipV="1">
          <a:off x="39814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9AC079E-9B10-4024-BD6B-038167DD1710}"/>
            </a:ext>
          </a:extLst>
        </xdr:cNvPr>
        <xdr:cNvCxnSpPr/>
      </xdr:nvCxnSpPr>
      <xdr:spPr>
        <a:xfrm flipV="1">
          <a:off x="52006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51E10F3-7E41-4822-ADCF-FD500E04248E}"/>
            </a:ext>
          </a:extLst>
        </xdr:cNvPr>
        <xdr:cNvCxnSpPr/>
      </xdr:nvCxnSpPr>
      <xdr:spPr>
        <a:xfrm flipV="1">
          <a:off x="55626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2D5E2220-2440-4CD4-998D-4FF70598554A}"/>
            </a:ext>
          </a:extLst>
        </xdr:cNvPr>
        <xdr:cNvCxnSpPr/>
      </xdr:nvCxnSpPr>
      <xdr:spPr>
        <a:xfrm flipV="1">
          <a:off x="57816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0295E45-CD97-46CC-BCDF-FF06B3758111}"/>
            </a:ext>
          </a:extLst>
        </xdr:cNvPr>
        <xdr:cNvCxnSpPr/>
      </xdr:nvCxnSpPr>
      <xdr:spPr>
        <a:xfrm>
          <a:off x="60960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62CD590-723F-4DAA-830C-E09DA4CDB79E}"/>
            </a:ext>
          </a:extLst>
        </xdr:cNvPr>
        <xdr:cNvCxnSpPr/>
      </xdr:nvCxnSpPr>
      <xdr:spPr>
        <a:xfrm flipV="1">
          <a:off x="74580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E7B1067-EBAF-4588-83F0-17CCD42C8A88}"/>
            </a:ext>
          </a:extLst>
        </xdr:cNvPr>
        <xdr:cNvCxnSpPr/>
      </xdr:nvCxnSpPr>
      <xdr:spPr>
        <a:xfrm flipV="1">
          <a:off x="79438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AF36CF6-3AAF-468C-A360-9E8349E38E56}"/>
            </a:ext>
          </a:extLst>
        </xdr:cNvPr>
        <xdr:cNvCxnSpPr/>
      </xdr:nvCxnSpPr>
      <xdr:spPr>
        <a:xfrm flipV="1">
          <a:off x="82677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C1B0B6F-115B-4B9F-B8D9-39B45090ECFE}"/>
            </a:ext>
          </a:extLst>
        </xdr:cNvPr>
        <xdr:cNvCxnSpPr/>
      </xdr:nvCxnSpPr>
      <xdr:spPr>
        <a:xfrm flipV="1">
          <a:off x="85915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FABFB22-56CB-4DED-BA3E-F1599FAC6CB2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2EA64BF-E5C2-427F-8C16-DEE5BC4CB01D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B5BAD1-863B-499F-A618-AD8D64F73E8F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B61DFC7-A8FE-4BAF-A9EB-9D7CB1275552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0CF52DA-E061-4153-AF3A-4C4714C660C8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82E5176-25E4-46E5-93D4-77FA79E7BB75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10F8539-B09B-43BB-A27A-14921D6FBA51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DC44615-FBCF-4AC1-8A9C-B19DC6AB0686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0A48B73-F85F-4864-83EF-7837D79923BB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F0B15778-A37F-4F2F-B7A5-233A8C09EB00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5DC5E330-C612-496B-A802-41C01F811C92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0812BA5-4F6A-4F8D-B970-62DF60155576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C0135A5-20DE-4989-B787-2EFB0004CBB9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BF6B8D39-CD2B-4BA6-B794-4F069F871E2D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F0749F2-8841-470D-B3C3-06F5B8F682DB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AF0847-742E-4CF9-A662-048A3BFC25DE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A28D564-0160-4FCD-820E-2DD5CA8096F1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C41B306-CD33-4344-B96C-71BBFBD4C6B4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427257D-821A-4339-8B8D-7D3689C274C2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8A70F1F-DC05-464E-AF40-91B95E131B01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502337C-8E8E-4738-BD29-D07DC7BC9530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3FA82B1-FB5D-4263-8B33-5543F6127296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E68E5D7-2690-4190-A7E0-7DE5425E5855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53E505F-67CF-4F66-8D8A-6FCFC3F6E364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5F77F3D-4449-4BB5-9A80-E79420223095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9115D3D7-025C-45FC-A05E-302BB74630C8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6758171D-B99D-4464-92AF-BCEBAE8F2473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73EE110-95CD-4F04-9D48-C509B719F5FE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FA06C61-ED6B-40CC-BCFA-D322EB79A199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9EC29B0-C561-4B7B-B5ED-2DA828D9DDFD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28F4E4A-8E9E-41B4-AA13-9008BD53FDA0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770A32F-4A5A-4F47-8C97-A86C90ED8250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07BF45F-89AA-4A45-94DD-80AD8EF011D0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3555C29-E923-4599-8B2C-F6CE975EA2FE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E34D81C-08D8-4D5D-8E7C-5A6F4E3C43EA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35BFBB19-1DBB-4B6E-B1CF-BF973F7394AC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222D2297-6746-49B2-B4A9-D07B0F788D95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D0762DBE-E389-428E-AB76-E5EEAF7C58B5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F3A38B1-EEDC-4246-96F3-D02568445A19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B20980D-2289-439F-912F-D32A6C15F5EE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4619155-9518-41FB-8FF7-DEDEDB686141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37655E5-1120-4256-9D74-DB7CE2D51E0A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CE01413-93B4-45DD-A8A8-1A574C7F187D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36FC16A-F7D8-4286-B904-1FEC0B209851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F52EE48-C920-462A-BAF2-9CBAF95A1BE0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39FD42A-0B94-4001-9DD7-8984C75F539C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DBDD651-9476-4809-99CF-BE4DCB5582B9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CB8DF07-D48B-4E97-9275-59DC2E6A26A2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E0EF992-9035-45BC-A8C5-8AA05CB5042B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5622872-1E54-4A92-877B-A24CEB672919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06408DB-19C4-4845-91A6-90AB290A4B36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8A42438-3114-4A9D-BC8D-1E2B79CCBF46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380BA4E-7516-4CFA-963E-9BCEF0BCBFF8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952370A1-0814-40EF-98F3-4F8FA7203BA9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A05E51E-C4DD-4F7C-8CFD-B8C939A817C3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E70550D-203D-4CF4-87FA-3F4A671A412F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CA6EBAF-0986-4819-B3D5-3E4C71DE5273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A84FDB3-7EB8-4887-911F-0471D6E2D4FC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D30987D-BF15-422D-86A1-11488E44E13F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6DA9822-A7FC-4221-97CB-53E7E08B2F54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EC01D7B-B9B1-472B-8B99-BC6E51AFD6D8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6BFC690-D59E-4662-81B7-97EC8F36900A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532ABEB-CF6D-4A3D-8AB2-0D52B303CF26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505796F-D181-4762-8E4A-E68CADB1F782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FC7590C-E1B1-4637-BF74-A54B9712B83F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9F9FC75-40A2-4441-B584-9D231FCDDDE8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92E9CD91-7DCA-43A1-BF03-12D458B8ACA6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088EA59-FB08-47AC-8CF6-281129E335E1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F22AE28-B502-464A-8EC9-88905B221CD8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A1E7750-FEB7-43BB-B372-8F6B3E9573E9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E9D7060-BA25-4396-81CB-D59B4CA8D9A4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22796AF-FA13-4261-99B6-7F337D48C755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B01210-2B3E-465A-B638-6AC224657FBB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CBED9B8-DBF8-4B57-B2A5-8D675FA1197A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B23CF0F-C8F8-4031-9180-93DEF4CE023F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F37929B9-1671-47C5-A5A2-77F48F04645E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D6DE84F-3F7D-4537-AD4E-4C00BC2750B0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0324119-B4DB-42B6-916A-4EC80CB350B5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C67BDB3-455A-479A-8157-1FAA67C51704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81E8A0AC-4168-4607-A3AB-F488CF4C9246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2D7DF04-0417-4CB9-9DD2-FD09305EFA12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AB36066-879D-489B-A375-6469604AD0E9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948FF6B-C55E-439C-BE84-41E95B958F0F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5E8950C-4D88-4D11-8521-07D14D29C468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35</xdr:row>
      <xdr:rowOff>28575</xdr:rowOff>
    </xdr:from>
    <xdr:to>
      <xdr:col>2</xdr:col>
      <xdr:colOff>447675</xdr:colOff>
      <xdr:row>38</xdr:row>
      <xdr:rowOff>28575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34CE684-C4ED-48C5-9C17-B8A5DC2D43EB}"/>
            </a:ext>
          </a:extLst>
        </xdr:cNvPr>
        <xdr:cNvCxnSpPr/>
      </xdr:nvCxnSpPr>
      <xdr:spPr>
        <a:xfrm>
          <a:off x="1323975" y="7458075"/>
          <a:ext cx="419100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32</xdr:row>
      <xdr:rowOff>28575</xdr:rowOff>
    </xdr:from>
    <xdr:to>
      <xdr:col>4</xdr:col>
      <xdr:colOff>657225</xdr:colOff>
      <xdr:row>35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A0D276E-2BFA-42C0-802F-55D7AD26FE98}"/>
            </a:ext>
          </a:extLst>
        </xdr:cNvPr>
        <xdr:cNvCxnSpPr/>
      </xdr:nvCxnSpPr>
      <xdr:spPr>
        <a:xfrm>
          <a:off x="2933700" y="6867525"/>
          <a:ext cx="28575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32</xdr:row>
      <xdr:rowOff>9525</xdr:rowOff>
    </xdr:from>
    <xdr:to>
      <xdr:col>4</xdr:col>
      <xdr:colOff>333375</xdr:colOff>
      <xdr:row>35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BD31E2D-A4E6-471C-81BB-BFFD144DC3D5}"/>
            </a:ext>
          </a:extLst>
        </xdr:cNvPr>
        <xdr:cNvCxnSpPr/>
      </xdr:nvCxnSpPr>
      <xdr:spPr>
        <a:xfrm flipV="1">
          <a:off x="2543175" y="6848475"/>
          <a:ext cx="4000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31</xdr:row>
      <xdr:rowOff>190500</xdr:rowOff>
    </xdr:from>
    <xdr:to>
      <xdr:col>6</xdr:col>
      <xdr:colOff>152400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6958879-E7DB-4CED-9879-607653D19B9D}"/>
            </a:ext>
          </a:extLst>
        </xdr:cNvPr>
        <xdr:cNvCxnSpPr/>
      </xdr:nvCxnSpPr>
      <xdr:spPr>
        <a:xfrm flipV="1">
          <a:off x="3676650" y="6829425"/>
          <a:ext cx="361950" cy="6096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29</xdr:row>
      <xdr:rowOff>19050</xdr:rowOff>
    </xdr:from>
    <xdr:to>
      <xdr:col>7</xdr:col>
      <xdr:colOff>266700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897F7974-7911-472F-9189-FDFDFD4D65A4}"/>
            </a:ext>
          </a:extLst>
        </xdr:cNvPr>
        <xdr:cNvCxnSpPr/>
      </xdr:nvCxnSpPr>
      <xdr:spPr>
        <a:xfrm>
          <a:off x="4429125" y="6267450"/>
          <a:ext cx="390525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28</xdr:row>
      <xdr:rowOff>190500</xdr:rowOff>
    </xdr:from>
    <xdr:to>
      <xdr:col>6</xdr:col>
      <xdr:colOff>533400</xdr:colOff>
      <xdr:row>31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3ADE56B-690D-4003-A4C9-03ED387599DA}"/>
            </a:ext>
          </a:extLst>
        </xdr:cNvPr>
        <xdr:cNvCxnSpPr/>
      </xdr:nvCxnSpPr>
      <xdr:spPr>
        <a:xfrm flipV="1">
          <a:off x="4057650" y="6238875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32</xdr:row>
      <xdr:rowOff>0</xdr:rowOff>
    </xdr:from>
    <xdr:to>
      <xdr:col>8</xdr:col>
      <xdr:colOff>409575</xdr:colOff>
      <xdr:row>34</xdr:row>
      <xdr:rowOff>190500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B06367B-A0D4-4FFB-B1EC-A757317B5B52}"/>
            </a:ext>
          </a:extLst>
        </xdr:cNvPr>
        <xdr:cNvCxnSpPr/>
      </xdr:nvCxnSpPr>
      <xdr:spPr>
        <a:xfrm flipV="1">
          <a:off x="5276850" y="6838950"/>
          <a:ext cx="361950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28</xdr:row>
      <xdr:rowOff>190500</xdr:rowOff>
    </xdr:from>
    <xdr:to>
      <xdr:col>9</xdr:col>
      <xdr:colOff>38100</xdr:colOff>
      <xdr:row>31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CDEC840-63FF-4D37-8448-A746A834599F}"/>
            </a:ext>
          </a:extLst>
        </xdr:cNvPr>
        <xdr:cNvCxnSpPr/>
      </xdr:nvCxnSpPr>
      <xdr:spPr>
        <a:xfrm flipV="1">
          <a:off x="5638800" y="6238875"/>
          <a:ext cx="23812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0</xdr:rowOff>
    </xdr:from>
    <xdr:to>
      <xdr:col>9</xdr:col>
      <xdr:colOff>323850</xdr:colOff>
      <xdr:row>28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51768AC-5A90-4C77-92A5-926D96F68300}"/>
            </a:ext>
          </a:extLst>
        </xdr:cNvPr>
        <xdr:cNvCxnSpPr/>
      </xdr:nvCxnSpPr>
      <xdr:spPr>
        <a:xfrm flipV="1">
          <a:off x="5857875" y="5657850"/>
          <a:ext cx="304800" cy="57150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26</xdr:row>
      <xdr:rowOff>0</xdr:rowOff>
    </xdr:from>
    <xdr:to>
      <xdr:col>10</xdr:col>
      <xdr:colOff>19050</xdr:colOff>
      <xdr:row>29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6536645-E43F-4D59-A96A-31368032F2E4}"/>
            </a:ext>
          </a:extLst>
        </xdr:cNvPr>
        <xdr:cNvCxnSpPr/>
      </xdr:nvCxnSpPr>
      <xdr:spPr>
        <a:xfrm>
          <a:off x="6172200" y="5657850"/>
          <a:ext cx="371475" cy="590550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32</xdr:row>
      <xdr:rowOff>0</xdr:rowOff>
    </xdr:from>
    <xdr:to>
      <xdr:col>12</xdr:col>
      <xdr:colOff>0</xdr:colOff>
      <xdr:row>34</xdr:row>
      <xdr:rowOff>190500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B96FDE99-4686-4794-B102-676EE0F01795}"/>
            </a:ext>
          </a:extLst>
        </xdr:cNvPr>
        <xdr:cNvCxnSpPr/>
      </xdr:nvCxnSpPr>
      <xdr:spPr>
        <a:xfrm flipV="1">
          <a:off x="7534275" y="6838950"/>
          <a:ext cx="4857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190500</xdr:rowOff>
    </xdr:from>
    <xdr:to>
      <xdr:col>12</xdr:col>
      <xdr:colOff>333375</xdr:colOff>
      <xdr:row>31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DE25367-59AC-4CFD-BD35-628A048D3E68}"/>
            </a:ext>
          </a:extLst>
        </xdr:cNvPr>
        <xdr:cNvCxnSpPr/>
      </xdr:nvCxnSpPr>
      <xdr:spPr>
        <a:xfrm flipV="1">
          <a:off x="8020050" y="62388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25</xdr:row>
      <xdr:rowOff>190500</xdr:rowOff>
    </xdr:from>
    <xdr:to>
      <xdr:col>13</xdr:col>
      <xdr:colOff>47625</xdr:colOff>
      <xdr:row>28</xdr:row>
      <xdr:rowOff>180975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62C37D97-B513-43FE-B0C7-7CFDF41417F7}"/>
            </a:ext>
          </a:extLst>
        </xdr:cNvPr>
        <xdr:cNvCxnSpPr/>
      </xdr:nvCxnSpPr>
      <xdr:spPr>
        <a:xfrm flipV="1">
          <a:off x="8343900" y="564832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22</xdr:row>
      <xdr:rowOff>190500</xdr:rowOff>
    </xdr:from>
    <xdr:to>
      <xdr:col>13</xdr:col>
      <xdr:colOff>371475</xdr:colOff>
      <xdr:row>25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5C83803-063B-47A1-B176-9968AE6D7883}"/>
            </a:ext>
          </a:extLst>
        </xdr:cNvPr>
        <xdr:cNvCxnSpPr/>
      </xdr:nvCxnSpPr>
      <xdr:spPr>
        <a:xfrm flipV="1">
          <a:off x="8667750" y="5057775"/>
          <a:ext cx="333375" cy="581025"/>
        </a:xfrm>
        <a:prstGeom prst="straightConnector1">
          <a:avLst/>
        </a:prstGeom>
        <a:ln w="63500">
          <a:solidFill>
            <a:schemeClr val="accent5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C831-E325-4078-9FC4-A53790682B17}">
  <dimension ref="B1:T40"/>
  <sheetViews>
    <sheetView showGridLines="0" tabSelected="1" zoomScale="95" zoomScaleNormal="95" workbookViewId="0">
      <selection activeCell="W27" sqref="W27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-62.100000000000009</v>
      </c>
      <c r="O3" s="2">
        <f>-O6-O7</f>
        <v>-169.20000000000002</v>
      </c>
      <c r="P3" s="2">
        <f>-P6-P7-P8</f>
        <v>-409.20000000000005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-0.29571428571428576</v>
      </c>
      <c r="O4" s="11">
        <f>(+O3/(C17*G8))</f>
        <v>-0.80571428571428583</v>
      </c>
      <c r="P4" s="11">
        <f>(+P3/(C17*G9))</f>
        <v>-1.9485714285714288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150</v>
      </c>
      <c r="G6">
        <f>+I17</f>
        <v>21</v>
      </c>
      <c r="H6">
        <f>-G6</f>
        <v>-21</v>
      </c>
      <c r="I6" s="14">
        <f>+J17</f>
        <v>0.27</v>
      </c>
      <c r="J6" s="15">
        <f>+G6*(C$17*E17)*-I6</f>
        <v>-56.7</v>
      </c>
      <c r="K6" s="16">
        <f>+J6/B17</f>
        <v>-5.67E-2</v>
      </c>
      <c r="L6" s="17">
        <f>+I6*C$17*E$17</f>
        <v>2.7</v>
      </c>
      <c r="M6" s="81">
        <f>(+E6*(C$17)*I6)-L6</f>
        <v>402.3</v>
      </c>
      <c r="N6" s="17">
        <f>(+H7*I6*C17)-L6</f>
        <v>62.100000000000009</v>
      </c>
      <c r="O6" s="17">
        <f>(+H8*I6*C17)-L6</f>
        <v>143.10000000000002</v>
      </c>
      <c r="P6" s="17">
        <f>(+H$9*C17*I6)-L6</f>
        <v>224.10000000000002</v>
      </c>
      <c r="Q6" s="17">
        <f>+F17*I6</f>
        <v>54</v>
      </c>
      <c r="R6" s="17">
        <f>+Q6-J6</f>
        <v>110.7</v>
      </c>
    </row>
    <row r="7" spans="2:20" x14ac:dyDescent="0.25">
      <c r="B7" s="13" t="s">
        <v>21</v>
      </c>
      <c r="C7" s="18">
        <f>+G17</f>
        <v>0.3</v>
      </c>
      <c r="D7">
        <f>+E$6*C7</f>
        <v>45</v>
      </c>
      <c r="E7">
        <f>+E6-D7</f>
        <v>105</v>
      </c>
      <c r="F7" s="19">
        <f>+H7/E6</f>
        <v>0.16</v>
      </c>
      <c r="G7" s="20">
        <f>+G6</f>
        <v>21</v>
      </c>
      <c r="H7">
        <f>+D7-G7</f>
        <v>24</v>
      </c>
      <c r="I7" s="14">
        <f>ROUNDDOWN(-N4,2)</f>
        <v>0.28999999999999998</v>
      </c>
      <c r="J7" s="17">
        <f>+G7*(C17*E17)*-I7</f>
        <v>-60.9</v>
      </c>
      <c r="K7" s="21">
        <f>+N10/B17</f>
        <v>1.2000000000000099E-3</v>
      </c>
      <c r="L7" s="17">
        <f t="shared" ref="L7:L9" si="0">+I7*C$17*E$17</f>
        <v>2.9</v>
      </c>
      <c r="M7" s="81">
        <f>(+E7*(C$17)*I7)-L7</f>
        <v>301.60000000000002</v>
      </c>
      <c r="N7" s="17">
        <f>-I7*G7*C$17</f>
        <v>-60.9</v>
      </c>
      <c r="O7" s="17">
        <f>(H8-D7)*C$17*I7</f>
        <v>26.099999999999998</v>
      </c>
      <c r="P7" s="17">
        <f>(+H$9-D7)*C17*I7</f>
        <v>113.1</v>
      </c>
      <c r="Q7" s="17">
        <f>F17*(I6+I7)</f>
        <v>112.00000000000001</v>
      </c>
      <c r="R7" s="17">
        <f>+Q7-S7</f>
        <v>-9.5</v>
      </c>
      <c r="S7" s="17">
        <f>+D7*C17*I6</f>
        <v>121.50000000000001</v>
      </c>
    </row>
    <row r="8" spans="2:20" x14ac:dyDescent="0.25">
      <c r="B8" s="13" t="s">
        <v>22</v>
      </c>
      <c r="C8" s="18">
        <v>0.5</v>
      </c>
      <c r="D8">
        <f t="shared" ref="D8:D9" si="1">+E$6*C8</f>
        <v>75</v>
      </c>
      <c r="E8">
        <f>+E6-D8</f>
        <v>75</v>
      </c>
      <c r="F8" s="19">
        <f>+H8/E6</f>
        <v>0.36</v>
      </c>
      <c r="G8" s="20">
        <f>+G7</f>
        <v>21</v>
      </c>
      <c r="H8">
        <f>+D8-G8</f>
        <v>54</v>
      </c>
      <c r="I8" s="14">
        <f>ROUNDDOWN(-O4,2)</f>
        <v>0.8</v>
      </c>
      <c r="J8" s="17">
        <f>+G8*(C17*E17)*-I8</f>
        <v>-168</v>
      </c>
      <c r="K8" s="21">
        <f>+O10/B17</f>
        <v>1.200000000000017E-3</v>
      </c>
      <c r="L8" s="17">
        <f t="shared" si="0"/>
        <v>8</v>
      </c>
      <c r="M8" s="81">
        <f>(+E8*(C$17)*I8)-L8</f>
        <v>592</v>
      </c>
      <c r="N8" s="17"/>
      <c r="O8" s="17">
        <f>(-I8*C$17*G8)</f>
        <v>-168</v>
      </c>
      <c r="P8" s="17">
        <f>(+H$9-D8)*C17*I8</f>
        <v>72</v>
      </c>
      <c r="Q8" s="17">
        <f>+F17*(I6+I7+I8)</f>
        <v>272</v>
      </c>
      <c r="R8" s="17">
        <f>+Q8-S8</f>
        <v>-17.5</v>
      </c>
      <c r="S8" s="17">
        <f>(I6*C17*E8)+((E8-D7)*I7*C17)</f>
        <v>289.5</v>
      </c>
    </row>
    <row r="9" spans="2:20" x14ac:dyDescent="0.25">
      <c r="B9" s="13" t="s">
        <v>23</v>
      </c>
      <c r="C9" s="18">
        <f>C8+(C8-C7)</f>
        <v>0.7</v>
      </c>
      <c r="D9">
        <f t="shared" si="1"/>
        <v>105</v>
      </c>
      <c r="E9">
        <f>+E6-D9</f>
        <v>45</v>
      </c>
      <c r="F9" s="19">
        <f>+H9/E6</f>
        <v>0.56000000000000005</v>
      </c>
      <c r="G9" s="20">
        <f>+G8</f>
        <v>21</v>
      </c>
      <c r="H9">
        <f>+D9-G9</f>
        <v>84</v>
      </c>
      <c r="I9" s="14">
        <f>ROUNDDOWN(-P4,2)</f>
        <v>1.94</v>
      </c>
      <c r="J9" s="17">
        <f>+G9*(C17*E17)*-I9</f>
        <v>-407.4</v>
      </c>
      <c r="K9" s="21">
        <f>+P10/B17</f>
        <v>1.8000000000000683E-3</v>
      </c>
      <c r="L9" s="17">
        <f t="shared" si="0"/>
        <v>19.399999999999999</v>
      </c>
      <c r="M9" s="81">
        <f>(+E9*(C$17)*I9)-L9</f>
        <v>853.6</v>
      </c>
      <c r="N9" s="17"/>
      <c r="O9" s="17"/>
      <c r="P9" s="17">
        <f>(+H$9-D9)*C17*I9</f>
        <v>-407.4</v>
      </c>
      <c r="Q9" s="17">
        <f>+F17*(I6+I7+I8+I9)</f>
        <v>660</v>
      </c>
      <c r="R9" s="17">
        <f>+Q9-S9</f>
        <v>136.5</v>
      </c>
      <c r="S9" s="17">
        <f>+((D9-D8)*C17*I8)+((E7-D9)*C17*I7)+(D9*C17*I6)</f>
        <v>523.5</v>
      </c>
    </row>
    <row r="10" spans="2:20" x14ac:dyDescent="0.25">
      <c r="I10" s="22">
        <f>SUM(I6:I9)</f>
        <v>3.3</v>
      </c>
      <c r="M10" s="82">
        <f>SUM(M6:M9)</f>
        <v>2149.5</v>
      </c>
      <c r="N10" s="23">
        <f t="shared" ref="N10:P10" si="2">SUM(N6:N9)</f>
        <v>1.2000000000000099</v>
      </c>
      <c r="O10" s="23">
        <f t="shared" si="2"/>
        <v>1.2000000000000171</v>
      </c>
      <c r="P10" s="23">
        <f t="shared" si="2"/>
        <v>1.8000000000000682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3149.5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500</v>
      </c>
      <c r="E17" s="33">
        <v>1</v>
      </c>
      <c r="F17" s="80">
        <f>100000/D17</f>
        <v>200</v>
      </c>
      <c r="G17" s="77">
        <v>0.3</v>
      </c>
      <c r="H17" s="33">
        <v>150</v>
      </c>
      <c r="I17" s="33">
        <v>21</v>
      </c>
      <c r="J17" s="78">
        <v>0.27</v>
      </c>
      <c r="K17" s="34">
        <f>+M10</f>
        <v>2149.5</v>
      </c>
      <c r="L17" s="35">
        <f>+K6</f>
        <v>-5.67E-2</v>
      </c>
      <c r="M17" s="36">
        <f>+M10/B17</f>
        <v>2.1495000000000002</v>
      </c>
      <c r="N17" s="37">
        <f>-M17/L17</f>
        <v>37.910052910052912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150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2149.5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0.7</v>
      </c>
      <c r="D26" s="50"/>
      <c r="E26" s="50"/>
      <c r="F26" s="50"/>
      <c r="G26" s="50"/>
      <c r="H26" s="50"/>
      <c r="I26" s="50"/>
      <c r="J26" s="59">
        <f>+I9</f>
        <v>1.94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-567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21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0.8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3.6000000000000298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1.8000000000000682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21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3.6000000000000512</v>
      </c>
    </row>
    <row r="32" spans="2:19" ht="15.75" thickBot="1" x14ac:dyDescent="0.3">
      <c r="B32" s="48" t="s">
        <v>61</v>
      </c>
      <c r="C32" s="49">
        <f>+C7</f>
        <v>0.3</v>
      </c>
      <c r="D32" s="59">
        <f>+I7</f>
        <v>0.28999999999999998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1.2000000000000171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5.4000000000002046</v>
      </c>
    </row>
    <row r="34" spans="2:19" x14ac:dyDescent="0.25">
      <c r="B34" s="48"/>
      <c r="C34" s="48"/>
      <c r="D34" s="48"/>
      <c r="E34" s="48"/>
      <c r="F34" s="65">
        <f>+G7</f>
        <v>21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0.27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2149.5</v>
      </c>
    </row>
    <row r="36" spans="2:19" ht="15.75" thickTop="1" x14ac:dyDescent="0.25">
      <c r="C36" s="13"/>
      <c r="D36" s="13"/>
      <c r="E36" s="68">
        <f>+N10</f>
        <v>1.2000000000000099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21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1595.1000000000004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1.5951000000000004</v>
      </c>
    </row>
    <row r="39" spans="2:19" ht="15.75" thickTop="1" x14ac:dyDescent="0.25">
      <c r="C39" s="75">
        <f>+J6</f>
        <v>-56.7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5F2A-F689-4B57-AB50-E540AA2A7989}">
  <dimension ref="B1:T40"/>
  <sheetViews>
    <sheetView showGridLines="0" zoomScale="95" zoomScaleNormal="95" workbookViewId="0">
      <selection activeCell="E40" sqref="E40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-82.350000000000009</v>
      </c>
      <c r="O3" s="2">
        <f>-O6-O7</f>
        <v>-148.95000000000002</v>
      </c>
      <c r="P3" s="2">
        <f>-P6-P7-P8</f>
        <v>-307.95000000000005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-0.39214285714285718</v>
      </c>
      <c r="O4" s="11">
        <f>(+O3/(C17*G8))</f>
        <v>-0.70928571428571441</v>
      </c>
      <c r="P4" s="11">
        <f>(+P3/(C17*G9))</f>
        <v>-1.4664285714285716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150</v>
      </c>
      <c r="G6">
        <f>+I17</f>
        <v>21</v>
      </c>
      <c r="H6">
        <f>-G6</f>
        <v>-21</v>
      </c>
      <c r="I6" s="14">
        <f>+J17</f>
        <v>0.27</v>
      </c>
      <c r="J6" s="15">
        <f>+G6*(C$17*E17)*-I6</f>
        <v>-56.7</v>
      </c>
      <c r="K6" s="16">
        <f>+J6/B17</f>
        <v>-5.67E-2</v>
      </c>
      <c r="L6" s="17">
        <f>+I6*C$17*E$17</f>
        <v>2.7</v>
      </c>
      <c r="M6" s="81">
        <f>(+E6*(C$17)*I6)-L6</f>
        <v>402.3</v>
      </c>
      <c r="N6" s="17">
        <f>(+H7*I6*C17)-L6</f>
        <v>82.350000000000009</v>
      </c>
      <c r="O6" s="17">
        <f>(+H8*I6*C17)-L6</f>
        <v>143.10000000000002</v>
      </c>
      <c r="P6" s="17">
        <f>(+H$9*C17*I6)-L6</f>
        <v>203.85000000000002</v>
      </c>
      <c r="Q6" s="17">
        <f>+F17*I6</f>
        <v>54</v>
      </c>
      <c r="R6" s="17">
        <f>+Q6-J6</f>
        <v>110.7</v>
      </c>
    </row>
    <row r="7" spans="2:20" x14ac:dyDescent="0.25">
      <c r="B7" s="13" t="s">
        <v>21</v>
      </c>
      <c r="C7" s="18">
        <f>+G17</f>
        <v>0.35</v>
      </c>
      <c r="D7">
        <f>+E$6*C7</f>
        <v>52.5</v>
      </c>
      <c r="E7">
        <f>+E6-D7</f>
        <v>97.5</v>
      </c>
      <c r="F7" s="19">
        <f>+H7/E6</f>
        <v>0.21</v>
      </c>
      <c r="G7" s="20">
        <f>+G6</f>
        <v>21</v>
      </c>
      <c r="H7">
        <f>+D7-G7</f>
        <v>31.5</v>
      </c>
      <c r="I7" s="14">
        <f>ROUNDDOWN(-N4,2)</f>
        <v>0.39</v>
      </c>
      <c r="J7" s="17">
        <f>+G7*(C17*E17)*-I7</f>
        <v>-81.900000000000006</v>
      </c>
      <c r="K7" s="21">
        <f>+N10/B17</f>
        <v>4.5000000000001706E-4</v>
      </c>
      <c r="L7" s="17">
        <f t="shared" ref="L7:L9" si="0">+I7*C$17*E$17</f>
        <v>3.9000000000000004</v>
      </c>
      <c r="M7" s="81">
        <f>(+E7*(C$17)*I7)-L7</f>
        <v>376.35</v>
      </c>
      <c r="N7" s="17">
        <f>-I7*G7*C$17</f>
        <v>-81.899999999999991</v>
      </c>
      <c r="O7" s="17">
        <f>(H8-D7)*C$17*I7</f>
        <v>5.8500000000000005</v>
      </c>
      <c r="P7" s="17">
        <f>(+H$9-D7)*C17*I7</f>
        <v>93.600000000000009</v>
      </c>
      <c r="Q7" s="17">
        <f>F17*(I6+I7)</f>
        <v>132</v>
      </c>
      <c r="R7" s="17">
        <f>+Q7-S7</f>
        <v>-9.75</v>
      </c>
      <c r="S7" s="17">
        <f>+D7*C17*I6</f>
        <v>141.75</v>
      </c>
    </row>
    <row r="8" spans="2:20" x14ac:dyDescent="0.25">
      <c r="B8" s="13" t="s">
        <v>22</v>
      </c>
      <c r="C8" s="18">
        <v>0.5</v>
      </c>
      <c r="D8">
        <f t="shared" ref="D8:D9" si="1">+E$6*C8</f>
        <v>75</v>
      </c>
      <c r="E8">
        <f>+E6-D8</f>
        <v>75</v>
      </c>
      <c r="F8" s="19">
        <f>+H8/E6</f>
        <v>0.36</v>
      </c>
      <c r="G8" s="20">
        <f>+G7</f>
        <v>21</v>
      </c>
      <c r="H8">
        <f>+D8-G8</f>
        <v>54</v>
      </c>
      <c r="I8" s="14">
        <f>ROUNDDOWN(-O4,2)</f>
        <v>0.7</v>
      </c>
      <c r="J8" s="17">
        <f>+G8*(C17*E17)*-I8</f>
        <v>-147</v>
      </c>
      <c r="K8" s="21">
        <f>+O10/B17</f>
        <v>1.950000000000017E-3</v>
      </c>
      <c r="L8" s="17">
        <f t="shared" si="0"/>
        <v>7</v>
      </c>
      <c r="M8" s="81">
        <f>(+E8*(C$17)*I8)-L8</f>
        <v>518</v>
      </c>
      <c r="N8" s="17"/>
      <c r="O8" s="17">
        <f>(-I8*C$17*G8)</f>
        <v>-147</v>
      </c>
      <c r="P8" s="17">
        <f>(+H$9-D8)*C17*I8</f>
        <v>10.5</v>
      </c>
      <c r="Q8" s="17">
        <f>+F17*(I6+I7+I8)</f>
        <v>272</v>
      </c>
      <c r="R8" s="17">
        <f>+Q8-S8</f>
        <v>-18.25</v>
      </c>
      <c r="S8" s="17">
        <f>(I6*C17*E8)+((E8-D7)*I7*C17)</f>
        <v>290.25</v>
      </c>
    </row>
    <row r="9" spans="2:20" x14ac:dyDescent="0.25">
      <c r="B9" s="13" t="s">
        <v>23</v>
      </c>
      <c r="C9" s="18">
        <f>C8+(C8-C7)</f>
        <v>0.65</v>
      </c>
      <c r="D9">
        <f t="shared" si="1"/>
        <v>97.5</v>
      </c>
      <c r="E9">
        <f>+E6-D9</f>
        <v>52.5</v>
      </c>
      <c r="F9" s="19">
        <f>+H9/E6</f>
        <v>0.51</v>
      </c>
      <c r="G9" s="20">
        <f>+G8</f>
        <v>21</v>
      </c>
      <c r="H9">
        <f>+D9-G9</f>
        <v>76.5</v>
      </c>
      <c r="I9" s="14">
        <f>ROUNDDOWN(-P4,2)</f>
        <v>1.46</v>
      </c>
      <c r="J9" s="17">
        <f>+G9*(C17*E17)*-I9</f>
        <v>-306.59999999999997</v>
      </c>
      <c r="K9" s="21">
        <f>+P10/B17</f>
        <v>1.3500000000000797E-3</v>
      </c>
      <c r="L9" s="17">
        <f t="shared" si="0"/>
        <v>14.6</v>
      </c>
      <c r="M9" s="81">
        <f>(+E9*(C$17)*I9)-L9</f>
        <v>751.9</v>
      </c>
      <c r="N9" s="17"/>
      <c r="O9" s="17"/>
      <c r="P9" s="17">
        <f>(+H$9-D9)*C17*I9</f>
        <v>-306.59999999999997</v>
      </c>
      <c r="Q9" s="17">
        <f>+F17*(I6+I7+I8+I9)</f>
        <v>564</v>
      </c>
      <c r="R9" s="17">
        <f>+Q9-S9</f>
        <v>143.25</v>
      </c>
      <c r="S9" s="17">
        <f>+((D9-D8)*C17*I8)+((E7-D9)*C17*I7)+(D9*C17*I6)</f>
        <v>420.75</v>
      </c>
    </row>
    <row r="10" spans="2:20" x14ac:dyDescent="0.25">
      <c r="I10" s="22">
        <f>SUM(I6:I9)</f>
        <v>2.82</v>
      </c>
      <c r="M10" s="82">
        <f>SUM(M6:M9)</f>
        <v>2048.5500000000002</v>
      </c>
      <c r="N10" s="23">
        <f t="shared" ref="N10:P10" si="2">SUM(N6:N9)</f>
        <v>0.45000000000001705</v>
      </c>
      <c r="O10" s="23">
        <f t="shared" si="2"/>
        <v>1.9500000000000171</v>
      </c>
      <c r="P10" s="23">
        <f t="shared" si="2"/>
        <v>1.3500000000000796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3048.55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500</v>
      </c>
      <c r="E17" s="33">
        <v>1</v>
      </c>
      <c r="F17" s="80">
        <f>100000/D17</f>
        <v>200</v>
      </c>
      <c r="G17" s="77">
        <v>0.35</v>
      </c>
      <c r="H17" s="33">
        <v>150</v>
      </c>
      <c r="I17" s="33">
        <v>21</v>
      </c>
      <c r="J17" s="78">
        <v>0.27</v>
      </c>
      <c r="K17" s="34">
        <f>+M10</f>
        <v>2048.5500000000002</v>
      </c>
      <c r="L17" s="35">
        <f>+K6</f>
        <v>-5.67E-2</v>
      </c>
      <c r="M17" s="36">
        <f>+M10/B17</f>
        <v>2.0485500000000001</v>
      </c>
      <c r="N17" s="37">
        <f>-M17/L17</f>
        <v>36.129629629629633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150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2048.5500000000002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1.46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-567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21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0.7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1.3500000000000512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1.3500000000000796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21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5.8500000000000512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0.39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1.9500000000000171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4.0500000000002387</v>
      </c>
    </row>
    <row r="34" spans="2:19" x14ac:dyDescent="0.25">
      <c r="B34" s="48"/>
      <c r="C34" s="48"/>
      <c r="D34" s="48"/>
      <c r="E34" s="48"/>
      <c r="F34" s="65">
        <f>+G7</f>
        <v>21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0.27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2048.5500000000002</v>
      </c>
    </row>
    <row r="36" spans="2:19" ht="15.75" thickTop="1" x14ac:dyDescent="0.25">
      <c r="C36" s="13"/>
      <c r="D36" s="13"/>
      <c r="E36" s="68">
        <f>+N10</f>
        <v>0.45000000000001705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21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1492.8000000000004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1.4928000000000003</v>
      </c>
    </row>
    <row r="39" spans="2:19" ht="15.75" thickTop="1" x14ac:dyDescent="0.25">
      <c r="C39" s="75">
        <f>+J6</f>
        <v>-56.7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2EEF-A153-4C3A-85C7-5CB8D3F17479}">
  <dimension ref="B1:T40"/>
  <sheetViews>
    <sheetView showGridLines="0" zoomScale="95" zoomScaleNormal="95" workbookViewId="0">
      <selection activeCell="E6" sqref="E6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-51.2</v>
      </c>
      <c r="O3" s="2">
        <f>-O6-O7</f>
        <v>-90.8</v>
      </c>
      <c r="P3" s="2">
        <f>-P6-P7-P8</f>
        <v>-165.8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-0.28444444444444444</v>
      </c>
      <c r="O4" s="11">
        <f>(+O3/(C17*G8))</f>
        <v>-0.50444444444444447</v>
      </c>
      <c r="P4" s="11">
        <f>(+P3/(C17*G9))</f>
        <v>-0.92111111111111121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100</v>
      </c>
      <c r="G6">
        <f>+I17</f>
        <v>18</v>
      </c>
      <c r="H6">
        <f>-G6</f>
        <v>-18</v>
      </c>
      <c r="I6" s="14">
        <f>+J17</f>
        <v>0.32</v>
      </c>
      <c r="J6" s="15">
        <f>+G6*(C$17*E17)*-I6</f>
        <v>-57.6</v>
      </c>
      <c r="K6" s="16">
        <f>+J6/B17</f>
        <v>-5.7599999999999998E-2</v>
      </c>
      <c r="L6" s="17">
        <f>+I6*C$17*E$17</f>
        <v>3.2</v>
      </c>
      <c r="M6" s="81">
        <f>(+E6*(C$17)*I6)-L6</f>
        <v>316.8</v>
      </c>
      <c r="N6" s="17">
        <f>(+H7*I6*C17)-L6</f>
        <v>51.2</v>
      </c>
      <c r="O6" s="17">
        <f>(+H8*I6*C17)-L6</f>
        <v>99.2</v>
      </c>
      <c r="P6" s="17">
        <f>(+H$9*C17*I6)-L6</f>
        <v>147.20000000000002</v>
      </c>
      <c r="Q6" s="17">
        <f>+F17*I6</f>
        <v>160</v>
      </c>
      <c r="R6" s="17">
        <f>+Q6-J6</f>
        <v>217.6</v>
      </c>
    </row>
    <row r="7" spans="2:20" x14ac:dyDescent="0.25">
      <c r="B7" s="13" t="s">
        <v>21</v>
      </c>
      <c r="C7" s="18">
        <f>+G17</f>
        <v>0.35</v>
      </c>
      <c r="D7">
        <f>+E$6*C7</f>
        <v>35</v>
      </c>
      <c r="E7">
        <f>+E6-D7</f>
        <v>65</v>
      </c>
      <c r="F7" s="19">
        <f>+H7/E6</f>
        <v>0.17</v>
      </c>
      <c r="G7" s="20">
        <f>+G6</f>
        <v>18</v>
      </c>
      <c r="H7">
        <f>+D7-G7</f>
        <v>17</v>
      </c>
      <c r="I7" s="14">
        <f>ROUNDDOWN(-N4,2)</f>
        <v>0.28000000000000003</v>
      </c>
      <c r="J7" s="17">
        <f>+G7*(C17*E17)*-I7</f>
        <v>-50.400000000000006</v>
      </c>
      <c r="K7" s="21">
        <f>+N10/B17</f>
        <v>7.9999999999999711E-4</v>
      </c>
      <c r="L7" s="17">
        <f t="shared" ref="L7:L9" si="0">+I7*C$17*E$17</f>
        <v>2.8000000000000003</v>
      </c>
      <c r="M7" s="81">
        <f>(+E7*(C$17)*I7)-L7</f>
        <v>179.20000000000002</v>
      </c>
      <c r="N7" s="17">
        <f>-I7*G7*C$17</f>
        <v>-50.400000000000006</v>
      </c>
      <c r="O7" s="17">
        <f>(H8-D7)*C$17*I7</f>
        <v>-8.4</v>
      </c>
      <c r="P7" s="17">
        <f>(+H$9-D7)*C17*I7</f>
        <v>33.6</v>
      </c>
      <c r="Q7" s="17">
        <f>F17*(I6+I7)</f>
        <v>300.00000000000006</v>
      </c>
      <c r="R7" s="17">
        <f>+Q7-S7</f>
        <v>188.00000000000006</v>
      </c>
      <c r="S7" s="17">
        <f>+D7*C17*I6</f>
        <v>112</v>
      </c>
    </row>
    <row r="8" spans="2:20" x14ac:dyDescent="0.25">
      <c r="B8" s="13" t="s">
        <v>22</v>
      </c>
      <c r="C8" s="18">
        <v>0.5</v>
      </c>
      <c r="D8">
        <f t="shared" ref="D8:D9" si="1">+E$6*C8</f>
        <v>50</v>
      </c>
      <c r="E8">
        <f>+E6-D8</f>
        <v>50</v>
      </c>
      <c r="F8" s="19">
        <f>+H8/E6</f>
        <v>0.32</v>
      </c>
      <c r="G8" s="20">
        <f>+G7</f>
        <v>18</v>
      </c>
      <c r="H8">
        <f>+D8-G8</f>
        <v>32</v>
      </c>
      <c r="I8" s="14">
        <f>ROUNDDOWN(-O4,2)</f>
        <v>0.5</v>
      </c>
      <c r="J8" s="17">
        <f>+G8*(C17*E17)*-I8</f>
        <v>-90</v>
      </c>
      <c r="K8" s="21">
        <f>+O10/B17</f>
        <v>7.9999999999999711E-4</v>
      </c>
      <c r="L8" s="17">
        <f t="shared" si="0"/>
        <v>5</v>
      </c>
      <c r="M8" s="81">
        <f>(+E8*(C$17)*I8)-L8</f>
        <v>245</v>
      </c>
      <c r="N8" s="17"/>
      <c r="O8" s="17">
        <f>(-I8*C$17*G8)</f>
        <v>-90</v>
      </c>
      <c r="P8" s="17">
        <f>(+H$9-D8)*C17*I8</f>
        <v>-15</v>
      </c>
      <c r="Q8" s="17">
        <f>+F17*(I6+I7+I8)</f>
        <v>550</v>
      </c>
      <c r="R8" s="17">
        <f>+Q8-S8</f>
        <v>348</v>
      </c>
      <c r="S8" s="17">
        <f>(I6*C17*E8)+((E8-D7)*I7*C17)</f>
        <v>202</v>
      </c>
    </row>
    <row r="9" spans="2:20" x14ac:dyDescent="0.25">
      <c r="B9" s="13" t="s">
        <v>23</v>
      </c>
      <c r="C9" s="18">
        <f>C8+(C8-C7)</f>
        <v>0.65</v>
      </c>
      <c r="D9">
        <f t="shared" si="1"/>
        <v>65</v>
      </c>
      <c r="E9">
        <f>+E6-D9</f>
        <v>35</v>
      </c>
      <c r="F9" s="19">
        <f>+H9/E6</f>
        <v>0.47</v>
      </c>
      <c r="G9" s="20">
        <f>+G8</f>
        <v>18</v>
      </c>
      <c r="H9">
        <f>+D9-G9</f>
        <v>47</v>
      </c>
      <c r="I9" s="14">
        <f>ROUNDDOWN(-P4,2)</f>
        <v>0.92</v>
      </c>
      <c r="J9" s="17">
        <f>+G9*(C17*E17)*-I9</f>
        <v>-165.6</v>
      </c>
      <c r="K9" s="21">
        <f>+P10/B17</f>
        <v>2.0000000000001706E-4</v>
      </c>
      <c r="L9" s="17">
        <f t="shared" si="0"/>
        <v>9.2000000000000011</v>
      </c>
      <c r="M9" s="81">
        <f>(+E9*(C$17)*I9)-L9</f>
        <v>312.8</v>
      </c>
      <c r="N9" s="17"/>
      <c r="O9" s="17"/>
      <c r="P9" s="17">
        <f>(+H$9-D9)*C17*I9</f>
        <v>-165.6</v>
      </c>
      <c r="Q9" s="17">
        <f>+F17*(I6+I7+I8+I9)</f>
        <v>1010</v>
      </c>
      <c r="R9" s="17">
        <f>+Q9-S9</f>
        <v>727</v>
      </c>
      <c r="S9" s="17">
        <f>+((D9-D8)*C17*I8)+((E7-D9)*C17*I7)+(D9*C17*I6)</f>
        <v>283</v>
      </c>
    </row>
    <row r="10" spans="2:20" x14ac:dyDescent="0.25">
      <c r="I10" s="22">
        <f>SUM(I6:I9)</f>
        <v>2.02</v>
      </c>
      <c r="M10" s="82">
        <f>SUM(M6:M9)</f>
        <v>1053.8</v>
      </c>
      <c r="N10" s="23">
        <f t="shared" ref="N10:P10" si="2">SUM(N6:N9)</f>
        <v>0.79999999999999716</v>
      </c>
      <c r="O10" s="23">
        <f t="shared" si="2"/>
        <v>0.79999999999999716</v>
      </c>
      <c r="P10" s="23">
        <f t="shared" si="2"/>
        <v>0.20000000000001705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2053.8000000000002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200</v>
      </c>
      <c r="E17" s="33">
        <v>1</v>
      </c>
      <c r="F17" s="80">
        <f>100000/D17</f>
        <v>500</v>
      </c>
      <c r="G17" s="77">
        <v>0.35</v>
      </c>
      <c r="H17" s="33">
        <v>100</v>
      </c>
      <c r="I17" s="33">
        <v>18</v>
      </c>
      <c r="J17" s="78">
        <v>0.32</v>
      </c>
      <c r="K17" s="34">
        <f>+M10</f>
        <v>1053.8</v>
      </c>
      <c r="L17" s="35">
        <f>+K6</f>
        <v>-5.7599999999999998E-2</v>
      </c>
      <c r="M17" s="36">
        <f>+M10/B17</f>
        <v>1.0537999999999998</v>
      </c>
      <c r="N17" s="37">
        <f>-M17/L17</f>
        <v>18.295138888888886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100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1053.8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0.92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-576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18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0.5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2.3999999999999915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0.20000000000001705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18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2.3999999999999915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0.28000000000000003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0.79999999999999716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0.60000000000005116</v>
      </c>
    </row>
    <row r="34" spans="2:19" x14ac:dyDescent="0.25">
      <c r="B34" s="48"/>
      <c r="C34" s="48"/>
      <c r="D34" s="48"/>
      <c r="E34" s="48"/>
      <c r="F34" s="65">
        <f>+G7</f>
        <v>18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0.32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1053.8</v>
      </c>
    </row>
    <row r="36" spans="2:19" ht="15.75" thickTop="1" x14ac:dyDescent="0.25">
      <c r="C36" s="13"/>
      <c r="D36" s="13"/>
      <c r="E36" s="68">
        <f>+N10</f>
        <v>0.79999999999999716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18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483.19999999999993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0.48319999999999991</v>
      </c>
    </row>
    <row r="39" spans="2:19" ht="15.75" thickTop="1" x14ac:dyDescent="0.25">
      <c r="C39" s="75">
        <f>+J6</f>
        <v>-57.6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BBB2-FC4E-4987-82F3-51DC149333FD}">
  <dimension ref="B1:T40"/>
  <sheetViews>
    <sheetView showGridLines="0" zoomScale="95" zoomScaleNormal="95" workbookViewId="0">
      <selection activeCell="L17" sqref="L17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-33.299999999999997</v>
      </c>
      <c r="O3" s="2">
        <f>-O6-O7</f>
        <v>-66.900000000000006</v>
      </c>
      <c r="P3" s="2">
        <f>-P6-P7-P8</f>
        <v>-110.7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-0.185</v>
      </c>
      <c r="O4" s="11">
        <f>(+O3/(C17*G8))</f>
        <v>-0.3716666666666667</v>
      </c>
      <c r="P4" s="11">
        <f>(+P3/(C17*G9))</f>
        <v>-0.61499999999999999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80</v>
      </c>
      <c r="G6">
        <f>+I17</f>
        <v>18</v>
      </c>
      <c r="H6">
        <f>-G6</f>
        <v>-18</v>
      </c>
      <c r="I6" s="14">
        <f>+J17</f>
        <v>0.37</v>
      </c>
      <c r="J6" s="15">
        <f>+G6*(C$17*E17)*-I6</f>
        <v>-66.599999999999994</v>
      </c>
      <c r="K6" s="16">
        <f>+J6/B17</f>
        <v>-6.6599999999999993E-2</v>
      </c>
      <c r="L6" s="17">
        <f>+I6*C$17*E$17</f>
        <v>3.7</v>
      </c>
      <c r="M6" s="81">
        <f>(+E6*(C$17)*I6)-L6</f>
        <v>292.3</v>
      </c>
      <c r="N6" s="17">
        <f>(+H7*I6*C17)-L6</f>
        <v>33.299999999999997</v>
      </c>
      <c r="O6" s="17">
        <f>(+H8*I6*C17)-L6</f>
        <v>77.7</v>
      </c>
      <c r="P6" s="17">
        <f>(+H$9*C17*I6)-L6</f>
        <v>122.1</v>
      </c>
      <c r="Q6" s="17">
        <f>+F17*I6</f>
        <v>185</v>
      </c>
      <c r="R6" s="17">
        <f>+Q6-J6</f>
        <v>251.6</v>
      </c>
    </row>
    <row r="7" spans="2:20" x14ac:dyDescent="0.25">
      <c r="B7" s="13" t="s">
        <v>21</v>
      </c>
      <c r="C7" s="18">
        <f>+G17</f>
        <v>0.35</v>
      </c>
      <c r="D7">
        <f>+E$6*C7</f>
        <v>28</v>
      </c>
      <c r="E7">
        <f>+E6-D7</f>
        <v>52</v>
      </c>
      <c r="F7" s="19">
        <f>+H7/E6</f>
        <v>0.125</v>
      </c>
      <c r="G7" s="20">
        <f>+G6</f>
        <v>18</v>
      </c>
      <c r="H7">
        <f>+D7-G7</f>
        <v>10</v>
      </c>
      <c r="I7" s="14">
        <f>ROUNDDOWN(-N4,2)</f>
        <v>0.18</v>
      </c>
      <c r="J7" s="17">
        <f>+G7*(C17*E17)*-I7</f>
        <v>-32.4</v>
      </c>
      <c r="K7" s="21">
        <f>+N10/B17</f>
        <v>8.9999999999999857E-4</v>
      </c>
      <c r="L7" s="17">
        <f t="shared" ref="L7:L9" si="0">+I7*C$17*E$17</f>
        <v>1.7999999999999998</v>
      </c>
      <c r="M7" s="81">
        <f>(+E7*(C$17)*I7)-L7</f>
        <v>91.8</v>
      </c>
      <c r="N7" s="17">
        <f>-I7*G7*C$17</f>
        <v>-32.4</v>
      </c>
      <c r="O7" s="17">
        <f>(H8-D7)*C$17*I7</f>
        <v>-10.799999999999999</v>
      </c>
      <c r="P7" s="17">
        <f>(+H$9-D7)*C17*I7</f>
        <v>10.799999999999999</v>
      </c>
      <c r="Q7" s="17">
        <f>F17*(I6+I7)</f>
        <v>275</v>
      </c>
      <c r="R7" s="17">
        <f>+Q7-S7</f>
        <v>171.4</v>
      </c>
      <c r="S7" s="17">
        <f>+D7*C17*I6</f>
        <v>103.6</v>
      </c>
    </row>
    <row r="8" spans="2:20" x14ac:dyDescent="0.25">
      <c r="B8" s="13" t="s">
        <v>22</v>
      </c>
      <c r="C8" s="18">
        <v>0.5</v>
      </c>
      <c r="D8">
        <f t="shared" ref="D8:D9" si="1">+E$6*C8</f>
        <v>40</v>
      </c>
      <c r="E8">
        <f>+E6-D8</f>
        <v>40</v>
      </c>
      <c r="F8" s="19">
        <f>+H8/E6</f>
        <v>0.27500000000000002</v>
      </c>
      <c r="G8" s="20">
        <f>+G7</f>
        <v>18</v>
      </c>
      <c r="H8">
        <f>+D8-G8</f>
        <v>22</v>
      </c>
      <c r="I8" s="14">
        <f>ROUNDDOWN(-O4,2)</f>
        <v>0.37</v>
      </c>
      <c r="J8" s="17">
        <f>+G8*(C17*E17)*-I8</f>
        <v>-66.599999999999994</v>
      </c>
      <c r="K8" s="21">
        <f>+O10/B17</f>
        <v>2.9999999999999715E-4</v>
      </c>
      <c r="L8" s="17">
        <f t="shared" si="0"/>
        <v>3.7</v>
      </c>
      <c r="M8" s="81">
        <f>(+E8*(C$17)*I8)-L8</f>
        <v>144.30000000000001</v>
      </c>
      <c r="N8" s="17"/>
      <c r="O8" s="17">
        <f>(-I8*C$17*G8)</f>
        <v>-66.600000000000009</v>
      </c>
      <c r="P8" s="17">
        <f>(+H$9-D8)*C17*I8</f>
        <v>-22.2</v>
      </c>
      <c r="Q8" s="17">
        <f>+F17*(I6+I7+I8)</f>
        <v>460</v>
      </c>
      <c r="R8" s="17">
        <f>+Q8-S8</f>
        <v>290.39999999999998</v>
      </c>
      <c r="S8" s="17">
        <f>(I6*C17*E8)+((E8-D7)*I7*C17)</f>
        <v>169.6</v>
      </c>
    </row>
    <row r="9" spans="2:20" x14ac:dyDescent="0.25">
      <c r="B9" s="13" t="s">
        <v>23</v>
      </c>
      <c r="C9" s="18">
        <f>C8+(C8-C7)</f>
        <v>0.65</v>
      </c>
      <c r="D9">
        <f t="shared" si="1"/>
        <v>52</v>
      </c>
      <c r="E9">
        <f>+E6-D9</f>
        <v>28</v>
      </c>
      <c r="F9" s="19">
        <f>+H9/E6</f>
        <v>0.42499999999999999</v>
      </c>
      <c r="G9" s="20">
        <f>+G8</f>
        <v>18</v>
      </c>
      <c r="H9">
        <f>+D9-G9</f>
        <v>34</v>
      </c>
      <c r="I9" s="14">
        <f>ROUNDDOWN(-P4,2)</f>
        <v>0.61</v>
      </c>
      <c r="J9" s="17">
        <f>+G9*(C17*E17)*-I9</f>
        <v>-109.8</v>
      </c>
      <c r="K9" s="21">
        <f>+P10/B17</f>
        <v>9.0000000000000572E-4</v>
      </c>
      <c r="L9" s="17">
        <f t="shared" si="0"/>
        <v>6.1</v>
      </c>
      <c r="M9" s="81">
        <f>(+E9*(C$17)*I9)-L9</f>
        <v>164.7</v>
      </c>
      <c r="N9" s="17"/>
      <c r="O9" s="17"/>
      <c r="P9" s="17">
        <f>(+H$9-D9)*C17*I9</f>
        <v>-109.8</v>
      </c>
      <c r="Q9" s="17">
        <f>+F17*(I6+I7+I8+I9)</f>
        <v>765</v>
      </c>
      <c r="R9" s="17">
        <f>+Q9-S9</f>
        <v>528.20000000000005</v>
      </c>
      <c r="S9" s="17">
        <f>+((D9-D8)*C17*I8)+((E7-D9)*C17*I7)+(D9*C17*I6)</f>
        <v>236.8</v>
      </c>
    </row>
    <row r="10" spans="2:20" x14ac:dyDescent="0.25">
      <c r="I10" s="22">
        <f>SUM(I6:I9)</f>
        <v>1.53</v>
      </c>
      <c r="M10" s="82">
        <f>SUM(M6:M9)</f>
        <v>693.10000000000014</v>
      </c>
      <c r="N10" s="23">
        <f t="shared" ref="N10:P10" si="2">SUM(N6:N9)</f>
        <v>0.89999999999999858</v>
      </c>
      <c r="O10" s="23">
        <f t="shared" si="2"/>
        <v>0.29999999999999716</v>
      </c>
      <c r="P10" s="23">
        <f t="shared" si="2"/>
        <v>0.90000000000000568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1693.1000000000001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200</v>
      </c>
      <c r="E17" s="33">
        <v>1</v>
      </c>
      <c r="F17" s="80">
        <f>100000/D17</f>
        <v>500</v>
      </c>
      <c r="G17" s="77">
        <v>0.35</v>
      </c>
      <c r="H17" s="33">
        <v>80</v>
      </c>
      <c r="I17" s="33">
        <v>18</v>
      </c>
      <c r="J17" s="78">
        <v>0.37</v>
      </c>
      <c r="K17" s="34">
        <f>+M10</f>
        <v>693.10000000000014</v>
      </c>
      <c r="L17" s="35">
        <f>+K6</f>
        <v>-6.6599999999999993E-2</v>
      </c>
      <c r="M17" s="36">
        <f>+M10/B17</f>
        <v>0.69310000000000016</v>
      </c>
      <c r="N17" s="37">
        <f>-M17/L17</f>
        <v>10.40690690690691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80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693.10000000000014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0.61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-666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18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0.37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2.6999999999999957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0.90000000000000568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18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0.89999999999999147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0.18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0.29999999999999716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2.7000000000000171</v>
      </c>
    </row>
    <row r="34" spans="2:19" x14ac:dyDescent="0.25">
      <c r="B34" s="48"/>
      <c r="C34" s="48"/>
      <c r="D34" s="48"/>
      <c r="E34" s="48"/>
      <c r="F34" s="65">
        <f>+G7</f>
        <v>18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0.37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693.10000000000014</v>
      </c>
    </row>
    <row r="36" spans="2:19" ht="15.75" thickTop="1" x14ac:dyDescent="0.25">
      <c r="C36" s="13"/>
      <c r="D36" s="13"/>
      <c r="E36" s="68">
        <f>+N10</f>
        <v>0.89999999999999858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18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33.400000000000205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3.3400000000000207E-2</v>
      </c>
    </row>
    <row r="39" spans="2:19" ht="15.75" thickTop="1" x14ac:dyDescent="0.25">
      <c r="C39" s="75">
        <f>+J6</f>
        <v>-66.599999999999994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94B4-383E-4D74-A739-E62D0F1105D5}">
  <dimension ref="B1:T40"/>
  <sheetViews>
    <sheetView showGridLines="0" zoomScale="95" zoomScaleNormal="95" workbookViewId="0">
      <selection activeCell="E6" sqref="E6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-25.200000000000003</v>
      </c>
      <c r="O3" s="2">
        <f>-O6-O7</f>
        <v>-50.400000000000006</v>
      </c>
      <c r="P3" s="2">
        <f>-P6-P7-P8</f>
        <v>-84.000000000000014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-0.14000000000000001</v>
      </c>
      <c r="O4" s="11">
        <f>(+O3/(C17*G8))</f>
        <v>-0.28000000000000003</v>
      </c>
      <c r="P4" s="11">
        <f>(+P3/(C17*G9))</f>
        <v>-0.46666666666666673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80</v>
      </c>
      <c r="G6">
        <f>+I17</f>
        <v>18</v>
      </c>
      <c r="H6">
        <f>-G6</f>
        <v>-18</v>
      </c>
      <c r="I6" s="14">
        <f>+J17</f>
        <v>0.28000000000000003</v>
      </c>
      <c r="J6" s="15">
        <f>+G6*(C$17*E17)*-I6</f>
        <v>-50.400000000000006</v>
      </c>
      <c r="K6" s="16">
        <f>+J6/B17</f>
        <v>-5.0400000000000007E-2</v>
      </c>
      <c r="L6" s="17">
        <f>+I6*C$17*E$17</f>
        <v>2.8000000000000003</v>
      </c>
      <c r="M6" s="81">
        <f>(+E6*(C$17)*I6)-L6</f>
        <v>221.20000000000002</v>
      </c>
      <c r="N6" s="17">
        <f>(+H7*I6*C17)-L6</f>
        <v>25.200000000000003</v>
      </c>
      <c r="O6" s="17">
        <f>(+H8*I6*C17)-L6</f>
        <v>58.800000000000004</v>
      </c>
      <c r="P6" s="17">
        <f>(+H$9*C17*I6)-L6</f>
        <v>92.4</v>
      </c>
      <c r="Q6" s="17">
        <f>+F17*I6</f>
        <v>280</v>
      </c>
      <c r="R6" s="17">
        <f>+Q6-J6</f>
        <v>330.4</v>
      </c>
    </row>
    <row r="7" spans="2:20" x14ac:dyDescent="0.25">
      <c r="B7" s="13" t="s">
        <v>21</v>
      </c>
      <c r="C7" s="18">
        <f>+G17</f>
        <v>0.35</v>
      </c>
      <c r="D7">
        <f>+E$6*C7</f>
        <v>28</v>
      </c>
      <c r="E7">
        <f>+E6-D7</f>
        <v>52</v>
      </c>
      <c r="F7" s="19">
        <f>+H7/E6</f>
        <v>0.125</v>
      </c>
      <c r="G7" s="20">
        <f>+G6</f>
        <v>18</v>
      </c>
      <c r="H7">
        <f>+D7-G7</f>
        <v>10</v>
      </c>
      <c r="I7" s="14">
        <f>ROUNDDOWN(-N4,2)</f>
        <v>0.14000000000000001</v>
      </c>
      <c r="J7" s="17">
        <f>+G7*(C17*E17)*-I7</f>
        <v>-25.200000000000003</v>
      </c>
      <c r="K7" s="21">
        <f>+N10/B17</f>
        <v>0</v>
      </c>
      <c r="L7" s="17">
        <f t="shared" ref="L7:L9" si="0">+I7*C$17*E$17</f>
        <v>1.4000000000000001</v>
      </c>
      <c r="M7" s="81">
        <f>(+E7*(C$17)*I7)-L7</f>
        <v>71.400000000000006</v>
      </c>
      <c r="N7" s="17">
        <f>-I7*G7*C$17</f>
        <v>-25.200000000000003</v>
      </c>
      <c r="O7" s="17">
        <f>(H8-D7)*C$17*I7</f>
        <v>-8.4</v>
      </c>
      <c r="P7" s="17">
        <f>(+H$9-D7)*C17*I7</f>
        <v>8.4</v>
      </c>
      <c r="Q7" s="17">
        <f>F17*(I6+I7)</f>
        <v>420.00000000000006</v>
      </c>
      <c r="R7" s="17">
        <f>+Q7-S7</f>
        <v>341.6</v>
      </c>
      <c r="S7" s="17">
        <f>+D7*C17*I6</f>
        <v>78.400000000000006</v>
      </c>
    </row>
    <row r="8" spans="2:20" x14ac:dyDescent="0.25">
      <c r="B8" s="13" t="s">
        <v>22</v>
      </c>
      <c r="C8" s="18">
        <v>0.5</v>
      </c>
      <c r="D8">
        <f t="shared" ref="D8:D9" si="1">+E$6*C8</f>
        <v>40</v>
      </c>
      <c r="E8">
        <f>+E6-D8</f>
        <v>40</v>
      </c>
      <c r="F8" s="19">
        <f>+H8/E6</f>
        <v>0.27500000000000002</v>
      </c>
      <c r="G8" s="20">
        <f>+G7</f>
        <v>18</v>
      </c>
      <c r="H8">
        <f>+D8-G8</f>
        <v>22</v>
      </c>
      <c r="I8" s="14">
        <f>ROUNDDOWN(-O4,2)</f>
        <v>0.28000000000000003</v>
      </c>
      <c r="J8" s="17">
        <f>+G8*(C17*E17)*-I8</f>
        <v>-50.400000000000006</v>
      </c>
      <c r="K8" s="21">
        <f>+O10/B17</f>
        <v>0</v>
      </c>
      <c r="L8" s="17">
        <f t="shared" si="0"/>
        <v>2.8000000000000003</v>
      </c>
      <c r="M8" s="81">
        <f>(+E8*(C$17)*I8)-L8</f>
        <v>109.20000000000002</v>
      </c>
      <c r="N8" s="17"/>
      <c r="O8" s="17">
        <f>(-I8*C$17*G8)</f>
        <v>-50.400000000000006</v>
      </c>
      <c r="P8" s="17">
        <f>(+H$9-D8)*C17*I8</f>
        <v>-16.8</v>
      </c>
      <c r="Q8" s="17">
        <f>+F17*(I6+I7+I8)</f>
        <v>700.00000000000011</v>
      </c>
      <c r="R8" s="17">
        <f>+Q8-S8</f>
        <v>571.20000000000005</v>
      </c>
      <c r="S8" s="17">
        <f>(I6*C17*E8)+((E8-D7)*I7*C17)</f>
        <v>128.80000000000001</v>
      </c>
    </row>
    <row r="9" spans="2:20" x14ac:dyDescent="0.25">
      <c r="B9" s="13" t="s">
        <v>23</v>
      </c>
      <c r="C9" s="18">
        <f>C8+(C8-C7)</f>
        <v>0.65</v>
      </c>
      <c r="D9">
        <f t="shared" si="1"/>
        <v>52</v>
      </c>
      <c r="E9">
        <f>+E6-D9</f>
        <v>28</v>
      </c>
      <c r="F9" s="19">
        <f>+H9/E6</f>
        <v>0.42499999999999999</v>
      </c>
      <c r="G9" s="20">
        <f>+G8</f>
        <v>18</v>
      </c>
      <c r="H9">
        <f>+D9-G9</f>
        <v>34</v>
      </c>
      <c r="I9" s="14">
        <f>ROUNDDOWN(-P4,2)</f>
        <v>0.46</v>
      </c>
      <c r="J9" s="17">
        <f>+G9*(C17*E17)*-I9</f>
        <v>-82.8</v>
      </c>
      <c r="K9" s="21">
        <f>+P10/B17</f>
        <v>1.200000000000017E-3</v>
      </c>
      <c r="L9" s="17">
        <f t="shared" si="0"/>
        <v>4.6000000000000005</v>
      </c>
      <c r="M9" s="81">
        <f>(+E9*(C$17)*I9)-L9</f>
        <v>124.20000000000002</v>
      </c>
      <c r="N9" s="17"/>
      <c r="O9" s="17"/>
      <c r="P9" s="17">
        <f>(+H$9-D9)*C17*I9</f>
        <v>-82.8</v>
      </c>
      <c r="Q9" s="17">
        <f>+F17*(I6+I7+I8+I9)</f>
        <v>1160.0000000000002</v>
      </c>
      <c r="R9" s="17">
        <f>+Q9-S9</f>
        <v>980.80000000000018</v>
      </c>
      <c r="S9" s="17">
        <f>+((D9-D8)*C17*I8)+((E7-D9)*C17*I7)+(D9*C17*I6)</f>
        <v>179.20000000000002</v>
      </c>
    </row>
    <row r="10" spans="2:20" x14ac:dyDescent="0.25">
      <c r="I10" s="22">
        <f>SUM(I6:I9)</f>
        <v>1.1600000000000001</v>
      </c>
      <c r="M10" s="82">
        <f>SUM(M6:M9)</f>
        <v>526.00000000000011</v>
      </c>
      <c r="N10" s="23">
        <f t="shared" ref="N10:P10" si="2">SUM(N6:N9)</f>
        <v>0</v>
      </c>
      <c r="O10" s="23">
        <f t="shared" si="2"/>
        <v>0</v>
      </c>
      <c r="P10" s="23">
        <f t="shared" si="2"/>
        <v>1.2000000000000171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1526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5">
        <v>1000</v>
      </c>
      <c r="C17" s="86">
        <v>10</v>
      </c>
      <c r="D17" s="80">
        <v>100</v>
      </c>
      <c r="E17" s="80">
        <v>1</v>
      </c>
      <c r="F17" s="80">
        <f>100000/D17</f>
        <v>1000</v>
      </c>
      <c r="G17" s="87">
        <v>0.35</v>
      </c>
      <c r="H17" s="80">
        <v>80</v>
      </c>
      <c r="I17" s="80">
        <v>18</v>
      </c>
      <c r="J17" s="88">
        <v>0.28000000000000003</v>
      </c>
      <c r="K17" s="34">
        <f>+M10</f>
        <v>526.00000000000011</v>
      </c>
      <c r="L17" s="35">
        <f>+K6</f>
        <v>-5.0400000000000007E-2</v>
      </c>
      <c r="M17" s="36">
        <f>+M10/B17</f>
        <v>0.52600000000000013</v>
      </c>
      <c r="N17" s="37">
        <f>-M17/L17</f>
        <v>10.436507936507939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80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526.00000000000011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0.46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-504.00000000000006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18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0.28000000000000003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0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1.2000000000000171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18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0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0.14000000000000001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0</v>
      </c>
      <c r="I33" s="48"/>
      <c r="J33" s="48"/>
      <c r="K33" s="48"/>
      <c r="L33" s="48"/>
      <c r="M33" s="48"/>
      <c r="N33" s="48"/>
      <c r="P33" s="61" t="s">
        <v>62</v>
      </c>
      <c r="Q33" s="62">
        <v>0.1</v>
      </c>
      <c r="R33" s="63">
        <f>+Q$23*Q33</f>
        <v>2</v>
      </c>
      <c r="S33" s="64">
        <f>(+Q$23*Q33)*K30</f>
        <v>2.4000000000000341</v>
      </c>
    </row>
    <row r="34" spans="2:19" x14ac:dyDescent="0.25">
      <c r="B34" s="48"/>
      <c r="C34" s="48"/>
      <c r="D34" s="48"/>
      <c r="E34" s="48"/>
      <c r="F34" s="65">
        <f>+G7</f>
        <v>18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0.28000000000000003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0.1</v>
      </c>
      <c r="R35" s="63">
        <f>+Q$23*Q35</f>
        <v>2</v>
      </c>
      <c r="S35" s="64">
        <f>(+Q$23*Q35)*N23</f>
        <v>1052.0000000000002</v>
      </c>
    </row>
    <row r="36" spans="2:19" ht="15.75" thickTop="1" x14ac:dyDescent="0.25">
      <c r="C36" s="13"/>
      <c r="D36" s="13"/>
      <c r="E36" s="68">
        <f>+N10</f>
        <v>0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18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550.4000000000002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0.55040000000000022</v>
      </c>
    </row>
    <row r="39" spans="2:19" ht="15.75" thickTop="1" x14ac:dyDescent="0.25">
      <c r="C39" s="75">
        <f>+J6</f>
        <v>-50.400000000000006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o2+/J9zzzZ2dQRZ/zbOXD6ipXUe955Ik2CDzy6gmNTzEAW3rPAl7tg5XZwrdXuquQlwjUT8nRht1ilO92ZfafQ==" saltValue="89FVxJnd6HU34cs76FAjIg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93A1-2F20-4374-8137-5BACED9F800E}">
  <dimension ref="B1:T40"/>
  <sheetViews>
    <sheetView showGridLines="0" zoomScale="95" zoomScaleNormal="95" workbookViewId="0">
      <selection activeCell="E6" sqref="E6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-21</v>
      </c>
      <c r="O3" s="2">
        <f>-O6-O7</f>
        <v>-41.6</v>
      </c>
      <c r="P3" s="2">
        <f>-P6-P7-P8</f>
        <v>-70.2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-0.16153846153846155</v>
      </c>
      <c r="O4" s="11">
        <f>(+O3/(C17*G8))</f>
        <v>-0.32</v>
      </c>
      <c r="P4" s="11">
        <f>(+P3/(C17*G9))</f>
        <v>-0.54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60</v>
      </c>
      <c r="G6">
        <f>+I17</f>
        <v>13</v>
      </c>
      <c r="H6">
        <f>-G6</f>
        <v>-13</v>
      </c>
      <c r="I6" s="14">
        <f>+J17</f>
        <v>0.3</v>
      </c>
      <c r="J6" s="15">
        <f>+G6*(C$17*E17)*-I6</f>
        <v>-39</v>
      </c>
      <c r="K6" s="16">
        <f>+J6/B17</f>
        <v>-3.9E-2</v>
      </c>
      <c r="L6" s="17">
        <f>+I6*C$17*E$17</f>
        <v>3</v>
      </c>
      <c r="M6" s="81">
        <f>(+E6*(C$17)*I6)-L6</f>
        <v>177</v>
      </c>
      <c r="N6" s="17">
        <f>(+H7*I6*C17)-L6</f>
        <v>21</v>
      </c>
      <c r="O6" s="17">
        <f>(+H8*I6*C17)-L6</f>
        <v>48</v>
      </c>
      <c r="P6" s="17">
        <f>(+H$9*C17*I6)-L6</f>
        <v>75</v>
      </c>
      <c r="Q6" s="17">
        <f>+F17*I6</f>
        <v>150</v>
      </c>
      <c r="R6" s="17">
        <f>+Q6-J6</f>
        <v>189</v>
      </c>
    </row>
    <row r="7" spans="2:20" x14ac:dyDescent="0.25">
      <c r="B7" s="13" t="s">
        <v>21</v>
      </c>
      <c r="C7" s="18">
        <f>+G17</f>
        <v>0.35</v>
      </c>
      <c r="D7">
        <f>+E$6*C7</f>
        <v>21</v>
      </c>
      <c r="E7">
        <f>+E6-D7</f>
        <v>39</v>
      </c>
      <c r="F7" s="19">
        <f>+H7/E6</f>
        <v>0.13333333333333333</v>
      </c>
      <c r="G7" s="20">
        <f>+G6</f>
        <v>13</v>
      </c>
      <c r="H7">
        <f>+D7-G7</f>
        <v>8</v>
      </c>
      <c r="I7" s="14">
        <f>ROUNDDOWN(-N4,2)</f>
        <v>0.16</v>
      </c>
      <c r="J7" s="17">
        <f>+G7*(C17*E17)*-I7</f>
        <v>-20.8</v>
      </c>
      <c r="K7" s="21">
        <f>+N10/B17</f>
        <v>1.9999999999999928E-4</v>
      </c>
      <c r="L7" s="17">
        <f t="shared" ref="L7:L9" si="0">+I7*C$17*E$17</f>
        <v>1.6</v>
      </c>
      <c r="M7" s="81">
        <f>(+E7*(C$17)*I7)-L7</f>
        <v>60.8</v>
      </c>
      <c r="N7" s="17">
        <f>-I7*G7*C$17</f>
        <v>-20.8</v>
      </c>
      <c r="O7" s="17">
        <f>(H8-D7)*C$17*I7</f>
        <v>-6.4</v>
      </c>
      <c r="P7" s="17">
        <f>(+H$9-D7)*C17*I7</f>
        <v>8</v>
      </c>
      <c r="Q7" s="17">
        <f>F17*(I6+I7)</f>
        <v>229.99999999999997</v>
      </c>
      <c r="R7" s="17">
        <f>+Q7-S7</f>
        <v>166.99999999999997</v>
      </c>
      <c r="S7" s="17">
        <f>+D7*C17*I6</f>
        <v>63</v>
      </c>
    </row>
    <row r="8" spans="2:20" x14ac:dyDescent="0.25">
      <c r="B8" s="13" t="s">
        <v>22</v>
      </c>
      <c r="C8" s="18">
        <v>0.5</v>
      </c>
      <c r="D8">
        <f t="shared" ref="D8:D9" si="1">+E$6*C8</f>
        <v>30</v>
      </c>
      <c r="E8">
        <f>+E6-D8</f>
        <v>30</v>
      </c>
      <c r="F8" s="19">
        <f>+H8/E6</f>
        <v>0.28333333333333333</v>
      </c>
      <c r="G8" s="20">
        <f>+G7</f>
        <v>13</v>
      </c>
      <c r="H8">
        <f>+D8-G8</f>
        <v>17</v>
      </c>
      <c r="I8" s="14">
        <f>ROUNDDOWN(-O4,2)</f>
        <v>0.32</v>
      </c>
      <c r="J8" s="17">
        <f>+G8*(C17*E17)*-I8</f>
        <v>-41.6</v>
      </c>
      <c r="K8" s="21">
        <f>+O10/B17</f>
        <v>0</v>
      </c>
      <c r="L8" s="17">
        <f t="shared" si="0"/>
        <v>3.2</v>
      </c>
      <c r="M8" s="81">
        <f>(+E8*(C$17)*I8)-L8</f>
        <v>92.8</v>
      </c>
      <c r="N8" s="17"/>
      <c r="O8" s="17">
        <f>(-I8*C$17*G8)</f>
        <v>-41.6</v>
      </c>
      <c r="P8" s="17">
        <f>(+H$9-D8)*C17*I8</f>
        <v>-12.8</v>
      </c>
      <c r="Q8" s="17">
        <f>+F17*(I6+I7+I8)</f>
        <v>390</v>
      </c>
      <c r="R8" s="17">
        <f>+Q8-S8</f>
        <v>285.60000000000002</v>
      </c>
      <c r="S8" s="17">
        <f>(I6*C17*E8)+((E8-D7)*I7*C17)</f>
        <v>104.4</v>
      </c>
    </row>
    <row r="9" spans="2:20" x14ac:dyDescent="0.25">
      <c r="B9" s="13" t="s">
        <v>23</v>
      </c>
      <c r="C9" s="18">
        <f>C8+(C8-C7)</f>
        <v>0.65</v>
      </c>
      <c r="D9">
        <f t="shared" si="1"/>
        <v>39</v>
      </c>
      <c r="E9">
        <f>+E6-D9</f>
        <v>21</v>
      </c>
      <c r="F9" s="19">
        <f>+H9/E6</f>
        <v>0.43333333333333335</v>
      </c>
      <c r="G9" s="20">
        <f>+G8</f>
        <v>13</v>
      </c>
      <c r="H9">
        <f>+D9-G9</f>
        <v>26</v>
      </c>
      <c r="I9" s="14">
        <f>ROUNDDOWN(-P4,2)</f>
        <v>0.54</v>
      </c>
      <c r="J9" s="17">
        <f>+G9*(C17*E17)*-I9</f>
        <v>-70.2</v>
      </c>
      <c r="K9" s="21">
        <f>+P10/B17</f>
        <v>0</v>
      </c>
      <c r="L9" s="17">
        <f t="shared" si="0"/>
        <v>5.4</v>
      </c>
      <c r="M9" s="81">
        <f>(+E9*(C$17)*I9)-L9</f>
        <v>108</v>
      </c>
      <c r="N9" s="17"/>
      <c r="O9" s="17"/>
      <c r="P9" s="17">
        <f>(+H$9-D9)*C17*I9</f>
        <v>-70.2</v>
      </c>
      <c r="Q9" s="17">
        <f>+F17*(I6+I7+I8+I9)</f>
        <v>660</v>
      </c>
      <c r="R9" s="17">
        <f>+Q9-S9</f>
        <v>514.20000000000005</v>
      </c>
      <c r="S9" s="17">
        <f>+((D9-D8)*C17*I8)+((E7-D9)*C17*I7)+(D9*C17*I6)</f>
        <v>145.80000000000001</v>
      </c>
    </row>
    <row r="10" spans="2:20" x14ac:dyDescent="0.25">
      <c r="I10" s="22">
        <f>SUM(I6:I9)</f>
        <v>1.32</v>
      </c>
      <c r="M10" s="82">
        <f>SUM(M6:M9)</f>
        <v>438.6</v>
      </c>
      <c r="N10" s="23">
        <f t="shared" ref="N10:P10" si="2">SUM(N6:N9)</f>
        <v>0.19999999999999929</v>
      </c>
      <c r="O10" s="23">
        <f t="shared" si="2"/>
        <v>0</v>
      </c>
      <c r="P10" s="23">
        <f t="shared" si="2"/>
        <v>0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1438.6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5">
        <v>1000</v>
      </c>
      <c r="C17" s="86">
        <v>10</v>
      </c>
      <c r="D17" s="80">
        <v>200</v>
      </c>
      <c r="E17" s="80">
        <v>1</v>
      </c>
      <c r="F17" s="80">
        <f>100000/D17</f>
        <v>500</v>
      </c>
      <c r="G17" s="87">
        <v>0.35</v>
      </c>
      <c r="H17" s="80">
        <v>60</v>
      </c>
      <c r="I17" s="80">
        <v>13</v>
      </c>
      <c r="J17" s="88">
        <v>0.3</v>
      </c>
      <c r="K17" s="34">
        <f>+M10</f>
        <v>438.6</v>
      </c>
      <c r="L17" s="35">
        <f>+K6</f>
        <v>-3.9E-2</v>
      </c>
      <c r="M17" s="36">
        <f>+M10/B17</f>
        <v>0.43860000000000005</v>
      </c>
      <c r="N17" s="37">
        <f>-M17/L17</f>
        <v>11.246153846153847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60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438.6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0.54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-390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13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0.32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0.59999999999999787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0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13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0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0.16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0</v>
      </c>
      <c r="I33" s="48"/>
      <c r="J33" s="48"/>
      <c r="K33" s="48"/>
      <c r="L33" s="48"/>
      <c r="M33" s="48"/>
      <c r="N33" s="48"/>
      <c r="P33" s="61" t="s">
        <v>62</v>
      </c>
      <c r="Q33" s="62">
        <v>0.1</v>
      </c>
      <c r="R33" s="63">
        <f>+Q$23*Q33</f>
        <v>2</v>
      </c>
      <c r="S33" s="64">
        <f>(+Q$23*Q33)*K30</f>
        <v>0</v>
      </c>
    </row>
    <row r="34" spans="2:19" x14ac:dyDescent="0.25">
      <c r="B34" s="48"/>
      <c r="C34" s="48"/>
      <c r="D34" s="48"/>
      <c r="E34" s="48"/>
      <c r="F34" s="65">
        <f>+G7</f>
        <v>13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0.3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0.1</v>
      </c>
      <c r="R35" s="63">
        <f>+Q$23*Q35</f>
        <v>2</v>
      </c>
      <c r="S35" s="64">
        <f>(+Q$23*Q35)*N23</f>
        <v>877.2</v>
      </c>
    </row>
    <row r="36" spans="2:19" ht="15.75" thickTop="1" x14ac:dyDescent="0.25">
      <c r="C36" s="13"/>
      <c r="D36" s="13"/>
      <c r="E36" s="68">
        <f>+N10</f>
        <v>0.19999999999999929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13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487.80000000000007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0.48780000000000007</v>
      </c>
    </row>
    <row r="39" spans="2:19" ht="15.75" thickTop="1" x14ac:dyDescent="0.25">
      <c r="C39" s="75">
        <f>+J6</f>
        <v>-39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bWbVVlGg211vALzjJDvc3/axpxgLItKtTSdrD7WK0H7p2qARlZnIuS26Add4WQkcjuVv/MqeK/uwYwMENUuC2w==" saltValue="lTwDBgY6M/AthXGpFIDUFg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066F-4349-4265-90D9-AFDE68672D48}">
  <dimension ref="B1:T40"/>
  <sheetViews>
    <sheetView showGridLines="0" zoomScale="95" zoomScaleNormal="95" workbookViewId="0">
      <selection activeCell="K40" sqref="K40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-82.350000000000009</v>
      </c>
      <c r="O3" s="2">
        <f>-O6-O7</f>
        <v>-148.95000000000002</v>
      </c>
      <c r="P3" s="2">
        <f>-P6-P7-P8</f>
        <v>-307.95000000000005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-0.39214285714285718</v>
      </c>
      <c r="O4" s="11">
        <f>(+O3/(C17*G8))</f>
        <v>-0.70928571428571441</v>
      </c>
      <c r="P4" s="11">
        <f>(+P3/(C17*G9))</f>
        <v>-1.4664285714285716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150</v>
      </c>
      <c r="G6">
        <f>+I17</f>
        <v>21</v>
      </c>
      <c r="H6">
        <f>-G6</f>
        <v>-21</v>
      </c>
      <c r="I6" s="14">
        <f>+J17</f>
        <v>0.27</v>
      </c>
      <c r="J6" s="15">
        <f>+G6*(C$17*E17)*-I6</f>
        <v>-56.7</v>
      </c>
      <c r="K6" s="16">
        <f>+J6/B17</f>
        <v>-5.67E-2</v>
      </c>
      <c r="L6" s="17">
        <f>+I6*C$17*E$17</f>
        <v>2.7</v>
      </c>
      <c r="M6" s="81">
        <f>(+E6*(C$17)*I6)-L6</f>
        <v>402.3</v>
      </c>
      <c r="N6" s="17">
        <f>(+H7*I6*C17)-L6</f>
        <v>82.350000000000009</v>
      </c>
      <c r="O6" s="17">
        <f>(+H8*I6*C17)-L6</f>
        <v>143.10000000000002</v>
      </c>
      <c r="P6" s="17">
        <f>(+H$9*C17*I6)-L6</f>
        <v>203.85000000000002</v>
      </c>
      <c r="Q6" s="17">
        <f>+F17*I6</f>
        <v>54</v>
      </c>
      <c r="R6" s="17">
        <f>+Q6-J6</f>
        <v>110.7</v>
      </c>
    </row>
    <row r="7" spans="2:20" x14ac:dyDescent="0.25">
      <c r="B7" s="13" t="s">
        <v>21</v>
      </c>
      <c r="C7" s="18">
        <f>+G17</f>
        <v>0.35</v>
      </c>
      <c r="D7">
        <f>+E$6*C7</f>
        <v>52.5</v>
      </c>
      <c r="E7">
        <f>+E6-D7</f>
        <v>97.5</v>
      </c>
      <c r="F7" s="19">
        <f>+H7/E6</f>
        <v>0.21</v>
      </c>
      <c r="G7" s="20">
        <f>+G6</f>
        <v>21</v>
      </c>
      <c r="H7">
        <f>+D7-G7</f>
        <v>31.5</v>
      </c>
      <c r="I7" s="14">
        <f>ROUNDDOWN(-N4,2)</f>
        <v>0.39</v>
      </c>
      <c r="J7" s="17">
        <f>+G7*(C17*E17)*-I7</f>
        <v>-81.900000000000006</v>
      </c>
      <c r="K7" s="21">
        <f>+N10/B17</f>
        <v>4.5000000000001706E-4</v>
      </c>
      <c r="L7" s="17">
        <f t="shared" ref="L7:L9" si="0">+I7*C$17*E$17</f>
        <v>3.9000000000000004</v>
      </c>
      <c r="M7" s="81">
        <f>(+E7*(C$17)*I7)-L7</f>
        <v>376.35</v>
      </c>
      <c r="N7" s="17">
        <f>-I7*G7*C$17</f>
        <v>-81.899999999999991</v>
      </c>
      <c r="O7" s="17">
        <f>(H8-D7)*C$17*I7</f>
        <v>5.8500000000000005</v>
      </c>
      <c r="P7" s="17">
        <f>(+H$9-D7)*C17*I7</f>
        <v>93.600000000000009</v>
      </c>
      <c r="Q7" s="17">
        <f>F17*(I6+I7)</f>
        <v>132</v>
      </c>
      <c r="R7" s="17">
        <f>+Q7-S7</f>
        <v>-9.75</v>
      </c>
      <c r="S7" s="17">
        <f>+D7*C17*I6</f>
        <v>141.75</v>
      </c>
    </row>
    <row r="8" spans="2:20" x14ac:dyDescent="0.25">
      <c r="B8" s="13" t="s">
        <v>22</v>
      </c>
      <c r="C8" s="18">
        <v>0.5</v>
      </c>
      <c r="D8">
        <f t="shared" ref="D8:D9" si="1">+E$6*C8</f>
        <v>75</v>
      </c>
      <c r="E8">
        <f>+E6-D8</f>
        <v>75</v>
      </c>
      <c r="F8" s="19">
        <f>+H8/E6</f>
        <v>0.36</v>
      </c>
      <c r="G8" s="20">
        <f>+G7</f>
        <v>21</v>
      </c>
      <c r="H8">
        <f>+D8-G8</f>
        <v>54</v>
      </c>
      <c r="I8" s="14">
        <f>ROUNDDOWN(-O4,2)</f>
        <v>0.7</v>
      </c>
      <c r="J8" s="17">
        <f>+G8*(C17*E17)*-I8</f>
        <v>-147</v>
      </c>
      <c r="K8" s="21">
        <f>+O10/B17</f>
        <v>1.950000000000017E-3</v>
      </c>
      <c r="L8" s="17">
        <f t="shared" si="0"/>
        <v>7</v>
      </c>
      <c r="M8" s="81">
        <f>(+E8*(C$17)*I8)-L8</f>
        <v>518</v>
      </c>
      <c r="N8" s="17"/>
      <c r="O8" s="17">
        <f>(-I8*C$17*G8)</f>
        <v>-147</v>
      </c>
      <c r="P8" s="17">
        <f>(+H$9-D8)*C17*I8</f>
        <v>10.5</v>
      </c>
      <c r="Q8" s="17">
        <f>+F17*(I6+I7+I8)</f>
        <v>272</v>
      </c>
      <c r="R8" s="17">
        <f>+Q8-S8</f>
        <v>-18.25</v>
      </c>
      <c r="S8" s="17">
        <f>(I6*C17*E8)+((E8-D7)*I7*C17)</f>
        <v>290.25</v>
      </c>
    </row>
    <row r="9" spans="2:20" x14ac:dyDescent="0.25">
      <c r="B9" s="13" t="s">
        <v>23</v>
      </c>
      <c r="C9" s="18">
        <f>C8+(C8-C7)</f>
        <v>0.65</v>
      </c>
      <c r="D9">
        <f t="shared" si="1"/>
        <v>97.5</v>
      </c>
      <c r="E9">
        <f>+E6-D9</f>
        <v>52.5</v>
      </c>
      <c r="F9" s="19">
        <f>+H9/E6</f>
        <v>0.51</v>
      </c>
      <c r="G9" s="20">
        <f>+G8</f>
        <v>21</v>
      </c>
      <c r="H9">
        <f>+D9-G9</f>
        <v>76.5</v>
      </c>
      <c r="I9" s="14">
        <f>ROUNDDOWN(-P4,2)</f>
        <v>1.46</v>
      </c>
      <c r="J9" s="17">
        <f>+G9*(C17*E17)*-I9</f>
        <v>-306.59999999999997</v>
      </c>
      <c r="K9" s="21">
        <f>+P10/B17</f>
        <v>1.3500000000000797E-3</v>
      </c>
      <c r="L9" s="17">
        <f t="shared" si="0"/>
        <v>14.6</v>
      </c>
      <c r="M9" s="81">
        <f>(+E9*(C$17)*I9)-L9</f>
        <v>751.9</v>
      </c>
      <c r="N9" s="17"/>
      <c r="O9" s="17"/>
      <c r="P9" s="17">
        <f>(+H$9-D9)*C17*I9</f>
        <v>-306.59999999999997</v>
      </c>
      <c r="Q9" s="17">
        <f>+F17*(I6+I7+I8+I9)</f>
        <v>564</v>
      </c>
      <c r="R9" s="17">
        <f>+Q9-S9</f>
        <v>143.25</v>
      </c>
      <c r="S9" s="17">
        <f>+((D9-D8)*C17*I8)+((E7-D9)*C17*I7)+(D9*C17*I6)</f>
        <v>420.75</v>
      </c>
    </row>
    <row r="10" spans="2:20" x14ac:dyDescent="0.25">
      <c r="I10" s="22">
        <f>SUM(I6:I9)</f>
        <v>2.82</v>
      </c>
      <c r="M10" s="82">
        <f>SUM(M6:M9)</f>
        <v>2048.5500000000002</v>
      </c>
      <c r="N10" s="23">
        <f t="shared" ref="N10:P10" si="2">SUM(N6:N9)</f>
        <v>0.45000000000001705</v>
      </c>
      <c r="O10" s="23">
        <f t="shared" si="2"/>
        <v>1.9500000000000171</v>
      </c>
      <c r="P10" s="23">
        <f t="shared" si="2"/>
        <v>1.3500000000000796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3048.55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500</v>
      </c>
      <c r="E17" s="33">
        <v>1</v>
      </c>
      <c r="F17" s="80">
        <f>100000/D17</f>
        <v>200</v>
      </c>
      <c r="G17" s="77">
        <v>0.35</v>
      </c>
      <c r="H17" s="33">
        <v>150</v>
      </c>
      <c r="I17" s="33">
        <v>21</v>
      </c>
      <c r="J17" s="78">
        <v>0.27</v>
      </c>
      <c r="K17" s="34">
        <f>+M10</f>
        <v>2048.5500000000002</v>
      </c>
      <c r="L17" s="35">
        <f>+K6</f>
        <v>-5.67E-2</v>
      </c>
      <c r="M17" s="36">
        <f>+M10/B17</f>
        <v>2.0485500000000001</v>
      </c>
      <c r="N17" s="37">
        <f>-M17/L17</f>
        <v>36.129629629629633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150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2048.5500000000002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1.46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-567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21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0.7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1.3500000000000512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1.3500000000000796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21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5.8500000000000512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0.39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1.9500000000000171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4.0500000000002387</v>
      </c>
    </row>
    <row r="34" spans="2:19" x14ac:dyDescent="0.25">
      <c r="B34" s="48"/>
      <c r="C34" s="48"/>
      <c r="D34" s="48"/>
      <c r="E34" s="48"/>
      <c r="F34" s="65">
        <f>+G7</f>
        <v>21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0.27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2048.5500000000002</v>
      </c>
    </row>
    <row r="36" spans="2:19" ht="15.75" thickTop="1" x14ac:dyDescent="0.25">
      <c r="C36" s="13"/>
      <c r="D36" s="13"/>
      <c r="E36" s="68">
        <f>+N10</f>
        <v>0.45000000000001705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21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1492.8000000000004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1.4928000000000003</v>
      </c>
    </row>
    <row r="39" spans="2:19" ht="15.75" thickTop="1" x14ac:dyDescent="0.25">
      <c r="C39" s="75">
        <f>+J6</f>
        <v>-56.7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C773-BCE8-429A-A3D1-109F4F3240B1}">
  <dimension ref="B1:T40"/>
  <sheetViews>
    <sheetView showGridLines="0" zoomScale="95" zoomScaleNormal="95" workbookViewId="0">
      <selection activeCell="H40" sqref="H40"/>
    </sheetView>
  </sheetViews>
  <sheetFormatPr defaultRowHeight="15" x14ac:dyDescent="0.25"/>
  <cols>
    <col min="2" max="2" width="10.28515625" customWidth="1"/>
    <col min="4" max="4" width="10.5703125" customWidth="1"/>
    <col min="6" max="7" width="10" customWidth="1"/>
    <col min="8" max="8" width="10.140625" customWidth="1"/>
    <col min="10" max="10" width="10.28515625" customWidth="1"/>
    <col min="11" max="11" width="11" customWidth="1"/>
    <col min="12" max="12" width="11.42578125" customWidth="1"/>
    <col min="14" max="14" width="10.140625" customWidth="1"/>
    <col min="15" max="15" width="9.85546875" customWidth="1"/>
    <col min="16" max="16" width="10.7109375" customWidth="1"/>
    <col min="17" max="17" width="10.28515625" customWidth="1"/>
    <col min="18" max="18" width="11.140625" customWidth="1"/>
    <col min="19" max="19" width="12.28515625" customWidth="1"/>
  </cols>
  <sheetData>
    <row r="1" spans="2:20" ht="8.25" customHeight="1" thickBot="1" x14ac:dyDescent="0.3"/>
    <row r="2" spans="2:20" ht="36.75" thickBot="1" x14ac:dyDescent="0.6">
      <c r="B2" s="92" t="s">
        <v>0</v>
      </c>
      <c r="C2" s="92"/>
      <c r="D2" s="92"/>
      <c r="E2" s="92"/>
      <c r="F2" s="92"/>
      <c r="G2" s="92"/>
      <c r="I2" s="93" t="s">
        <v>1</v>
      </c>
      <c r="J2" s="94"/>
      <c r="K2" s="94"/>
      <c r="L2" s="94"/>
      <c r="M2" s="94"/>
      <c r="N2" s="94"/>
      <c r="O2" s="95"/>
      <c r="P2" s="1"/>
    </row>
    <row r="3" spans="2:20" x14ac:dyDescent="0.25">
      <c r="N3" s="2">
        <f>-N6</f>
        <v>-82.350000000000009</v>
      </c>
      <c r="O3" s="2">
        <f>-O6-O7</f>
        <v>-148.95000000000002</v>
      </c>
      <c r="P3" s="2">
        <f>-P6-P7-P8</f>
        <v>-307.95000000000005</v>
      </c>
    </row>
    <row r="4" spans="2:20" ht="21" x14ac:dyDescent="0.35">
      <c r="B4" s="3" t="s">
        <v>2</v>
      </c>
      <c r="C4" s="3"/>
      <c r="D4" s="4" t="s">
        <v>3</v>
      </c>
      <c r="E4" s="5"/>
      <c r="F4" s="6"/>
      <c r="G4" s="7"/>
      <c r="H4" s="6"/>
      <c r="I4" s="8"/>
      <c r="J4" s="6"/>
      <c r="K4" s="8"/>
      <c r="L4" s="9"/>
      <c r="M4" s="10"/>
      <c r="N4" s="11">
        <f>+N3/(+G7*C17)</f>
        <v>-0.39214285714285718</v>
      </c>
      <c r="O4" s="11">
        <f>(+O3/(C17*G8))</f>
        <v>-0.70928571428571441</v>
      </c>
      <c r="P4" s="11">
        <f>(+P3/(C17*G9))</f>
        <v>-1.4664285714285716</v>
      </c>
      <c r="R4" s="12" t="s">
        <v>4</v>
      </c>
      <c r="S4" s="12"/>
    </row>
    <row r="5" spans="2:20" x14ac:dyDescent="0.25"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8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</row>
    <row r="6" spans="2:20" x14ac:dyDescent="0.25">
      <c r="B6" s="13" t="s">
        <v>20</v>
      </c>
      <c r="C6">
        <v>0</v>
      </c>
      <c r="E6">
        <f>+H17</f>
        <v>150</v>
      </c>
      <c r="G6">
        <f>+I17</f>
        <v>21</v>
      </c>
      <c r="H6">
        <f>-G6</f>
        <v>-21</v>
      </c>
      <c r="I6" s="14">
        <f>+J17</f>
        <v>0.27</v>
      </c>
      <c r="J6" s="15">
        <f>+G6*(C$17*E17)*-I6</f>
        <v>-56.7</v>
      </c>
      <c r="K6" s="16">
        <f>+J6/B17</f>
        <v>-5.67E-2</v>
      </c>
      <c r="L6" s="17">
        <f>+I6*C$17*E$17</f>
        <v>2.7</v>
      </c>
      <c r="M6" s="81">
        <f>(+E6*(C$17)*I6)-L6</f>
        <v>402.3</v>
      </c>
      <c r="N6" s="17">
        <f>(+H7*I6*C17)-L6</f>
        <v>82.350000000000009</v>
      </c>
      <c r="O6" s="17">
        <f>(+H8*I6*C17)-L6</f>
        <v>143.10000000000002</v>
      </c>
      <c r="P6" s="17">
        <f>(+H$9*C17*I6)-L6</f>
        <v>203.85000000000002</v>
      </c>
      <c r="Q6" s="17">
        <f>+F17*I6</f>
        <v>54</v>
      </c>
      <c r="R6" s="17">
        <f>+Q6-J6</f>
        <v>110.7</v>
      </c>
    </row>
    <row r="7" spans="2:20" x14ac:dyDescent="0.25">
      <c r="B7" s="13" t="s">
        <v>21</v>
      </c>
      <c r="C7" s="18">
        <f>+G17</f>
        <v>0.35</v>
      </c>
      <c r="D7">
        <f>+E$6*C7</f>
        <v>52.5</v>
      </c>
      <c r="E7">
        <f>+E6-D7</f>
        <v>97.5</v>
      </c>
      <c r="F7" s="19">
        <f>+H7/E6</f>
        <v>0.21</v>
      </c>
      <c r="G7" s="20">
        <f>+G6</f>
        <v>21</v>
      </c>
      <c r="H7">
        <f>+D7-G7</f>
        <v>31.5</v>
      </c>
      <c r="I7" s="14">
        <f>ROUNDDOWN(-N4,2)</f>
        <v>0.39</v>
      </c>
      <c r="J7" s="17">
        <f>+G7*(C17*E17)*-I7</f>
        <v>-81.900000000000006</v>
      </c>
      <c r="K7" s="21">
        <f>+N10/B17</f>
        <v>4.5000000000001706E-4</v>
      </c>
      <c r="L7" s="17">
        <f t="shared" ref="L7:L9" si="0">+I7*C$17*E$17</f>
        <v>3.9000000000000004</v>
      </c>
      <c r="M7" s="81">
        <f>(+E7*(C$17)*I7)-L7</f>
        <v>376.35</v>
      </c>
      <c r="N7" s="17">
        <f>-I7*G7*C$17</f>
        <v>-81.899999999999991</v>
      </c>
      <c r="O7" s="17">
        <f>(H8-D7)*C$17*I7</f>
        <v>5.8500000000000005</v>
      </c>
      <c r="P7" s="17">
        <f>(+H$9-D7)*C17*I7</f>
        <v>93.600000000000009</v>
      </c>
      <c r="Q7" s="17">
        <f>F17*(I6+I7)</f>
        <v>132</v>
      </c>
      <c r="R7" s="17">
        <f>+Q7-S7</f>
        <v>-9.75</v>
      </c>
      <c r="S7" s="17">
        <f>+D7*C17*I6</f>
        <v>141.75</v>
      </c>
    </row>
    <row r="8" spans="2:20" x14ac:dyDescent="0.25">
      <c r="B8" s="13" t="s">
        <v>22</v>
      </c>
      <c r="C8" s="18">
        <v>0.5</v>
      </c>
      <c r="D8">
        <f t="shared" ref="D8:D9" si="1">+E$6*C8</f>
        <v>75</v>
      </c>
      <c r="E8">
        <f>+E6-D8</f>
        <v>75</v>
      </c>
      <c r="F8" s="19">
        <f>+H8/E6</f>
        <v>0.36</v>
      </c>
      <c r="G8" s="20">
        <f>+G7</f>
        <v>21</v>
      </c>
      <c r="H8">
        <f>+D8-G8</f>
        <v>54</v>
      </c>
      <c r="I8" s="14">
        <f>ROUNDDOWN(-O4,2)</f>
        <v>0.7</v>
      </c>
      <c r="J8" s="17">
        <f>+G8*(C17*E17)*-I8</f>
        <v>-147</v>
      </c>
      <c r="K8" s="21">
        <f>+O10/B17</f>
        <v>1.950000000000017E-3</v>
      </c>
      <c r="L8" s="17">
        <f t="shared" si="0"/>
        <v>7</v>
      </c>
      <c r="M8" s="81">
        <f>(+E8*(C$17)*I8)-L8</f>
        <v>518</v>
      </c>
      <c r="N8" s="17"/>
      <c r="O8" s="17">
        <f>(-I8*C$17*G8)</f>
        <v>-147</v>
      </c>
      <c r="P8" s="17">
        <f>(+H$9-D8)*C17*I8</f>
        <v>10.5</v>
      </c>
      <c r="Q8" s="17">
        <f>+F17*(I6+I7+I8)</f>
        <v>272</v>
      </c>
      <c r="R8" s="17">
        <f>+Q8-S8</f>
        <v>-18.25</v>
      </c>
      <c r="S8" s="17">
        <f>(I6*C17*E8)+((E8-D7)*I7*C17)</f>
        <v>290.25</v>
      </c>
    </row>
    <row r="9" spans="2:20" x14ac:dyDescent="0.25">
      <c r="B9" s="13" t="s">
        <v>23</v>
      </c>
      <c r="C9" s="18">
        <f>C8+(C8-C7)</f>
        <v>0.65</v>
      </c>
      <c r="D9">
        <f t="shared" si="1"/>
        <v>97.5</v>
      </c>
      <c r="E9">
        <f>+E6-D9</f>
        <v>52.5</v>
      </c>
      <c r="F9" s="19">
        <f>+H9/E6</f>
        <v>0.51</v>
      </c>
      <c r="G9" s="20">
        <f>+G8</f>
        <v>21</v>
      </c>
      <c r="H9">
        <f>+D9-G9</f>
        <v>76.5</v>
      </c>
      <c r="I9" s="14">
        <f>ROUNDDOWN(-P4,2)</f>
        <v>1.46</v>
      </c>
      <c r="J9" s="17">
        <f>+G9*(C17*E17)*-I9</f>
        <v>-306.59999999999997</v>
      </c>
      <c r="K9" s="21">
        <f>+P10/B17</f>
        <v>1.3500000000000797E-3</v>
      </c>
      <c r="L9" s="17">
        <f t="shared" si="0"/>
        <v>14.6</v>
      </c>
      <c r="M9" s="81">
        <f>(+E9*(C$17)*I9)-L9</f>
        <v>751.9</v>
      </c>
      <c r="N9" s="17"/>
      <c r="O9" s="17"/>
      <c r="P9" s="17">
        <f>(+H$9-D9)*C17*I9</f>
        <v>-306.59999999999997</v>
      </c>
      <c r="Q9" s="17">
        <f>+F17*(I6+I7+I8+I9)</f>
        <v>564</v>
      </c>
      <c r="R9" s="17">
        <f>+Q9-S9</f>
        <v>143.25</v>
      </c>
      <c r="S9" s="17">
        <f>+((D9-D8)*C17*I8)+((E7-D9)*C17*I7)+(D9*C17*I6)</f>
        <v>420.75</v>
      </c>
    </row>
    <row r="10" spans="2:20" x14ac:dyDescent="0.25">
      <c r="I10" s="22">
        <f>SUM(I6:I9)</f>
        <v>2.82</v>
      </c>
      <c r="M10" s="82">
        <f>SUM(M6:M9)</f>
        <v>2048.5500000000002</v>
      </c>
      <c r="N10" s="23">
        <f t="shared" ref="N10:P10" si="2">SUM(N6:N9)</f>
        <v>0.45000000000001705</v>
      </c>
      <c r="O10" s="23">
        <f t="shared" si="2"/>
        <v>1.9500000000000171</v>
      </c>
      <c r="P10" s="23">
        <f t="shared" si="2"/>
        <v>1.3500000000000796</v>
      </c>
    </row>
    <row r="11" spans="2:20" x14ac:dyDescent="0.25">
      <c r="E11" s="96" t="str">
        <f>IF(R9&gt;B17,"INVALID STRATEGY !!","VALID STRATEGY")</f>
        <v>VALID STRATEGY</v>
      </c>
      <c r="F11" s="96"/>
      <c r="K11" s="13"/>
      <c r="L11" s="79" t="s">
        <v>67</v>
      </c>
      <c r="M11" s="83">
        <f>+M10+B17</f>
        <v>3048.55</v>
      </c>
      <c r="Q11" s="25"/>
      <c r="R11" s="26" t="str">
        <f>IF(R9&gt;B17,"Exceeds account size!!","Lower than Account size")</f>
        <v>Lower than Account size</v>
      </c>
      <c r="S11" s="26"/>
      <c r="T11" s="25"/>
    </row>
    <row r="12" spans="2:20" x14ac:dyDescent="0.25">
      <c r="K12" s="13"/>
      <c r="L12" s="24"/>
      <c r="O12" s="14"/>
      <c r="Q12" s="27"/>
      <c r="R12" s="27"/>
    </row>
    <row r="13" spans="2:20" ht="26.25" customHeight="1" x14ac:dyDescent="0.25">
      <c r="B13" s="28" t="s">
        <v>24</v>
      </c>
      <c r="C13" s="28"/>
      <c r="K13" s="97"/>
      <c r="L13" s="97"/>
      <c r="M13" s="97"/>
      <c r="N13" s="97"/>
      <c r="O13" s="97"/>
      <c r="P13" s="97"/>
      <c r="Q13" s="27"/>
      <c r="R13" s="27"/>
    </row>
    <row r="15" spans="2:20" x14ac:dyDescent="0.25">
      <c r="B15" s="98" t="s">
        <v>25</v>
      </c>
      <c r="C15" s="98"/>
      <c r="D15" s="98"/>
      <c r="E15" s="98"/>
      <c r="F15" s="98"/>
      <c r="G15" s="29"/>
      <c r="H15" s="30" t="s">
        <v>26</v>
      </c>
      <c r="I15" s="30"/>
      <c r="J15" s="30"/>
      <c r="K15" s="31" t="s">
        <v>27</v>
      </c>
      <c r="L15" s="31"/>
      <c r="M15" s="31"/>
      <c r="N15" s="31"/>
      <c r="O15" s="31"/>
      <c r="P15" s="31"/>
    </row>
    <row r="16" spans="2:20" x14ac:dyDescent="0.25">
      <c r="B16" s="32" t="s">
        <v>28</v>
      </c>
      <c r="C16" s="32" t="s">
        <v>29</v>
      </c>
      <c r="D16" s="32" t="s">
        <v>30</v>
      </c>
      <c r="E16" s="32" t="s">
        <v>31</v>
      </c>
      <c r="F16" s="32" t="s">
        <v>32</v>
      </c>
      <c r="G16" s="32" t="s">
        <v>33</v>
      </c>
      <c r="H16" s="32" t="s">
        <v>34</v>
      </c>
      <c r="I16" s="32" t="s">
        <v>35</v>
      </c>
      <c r="J16" s="32" t="s">
        <v>36</v>
      </c>
      <c r="K16" s="32" t="s">
        <v>37</v>
      </c>
      <c r="L16" s="32" t="s">
        <v>11</v>
      </c>
      <c r="M16" s="32" t="s">
        <v>38</v>
      </c>
      <c r="N16" s="32" t="s">
        <v>39</v>
      </c>
      <c r="O16" s="32" t="s">
        <v>40</v>
      </c>
      <c r="P16" s="32"/>
    </row>
    <row r="17" spans="2:19" x14ac:dyDescent="0.25">
      <c r="B17" s="84">
        <v>1000</v>
      </c>
      <c r="C17" s="76">
        <v>10</v>
      </c>
      <c r="D17" s="33">
        <v>500</v>
      </c>
      <c r="E17" s="33">
        <v>1</v>
      </c>
      <c r="F17" s="80">
        <f>100000/D17</f>
        <v>200</v>
      </c>
      <c r="G17" s="77">
        <v>0.35</v>
      </c>
      <c r="H17" s="33">
        <v>150</v>
      </c>
      <c r="I17" s="33">
        <v>21</v>
      </c>
      <c r="J17" s="78">
        <v>0.27</v>
      </c>
      <c r="K17" s="34">
        <f>+M10</f>
        <v>2048.5500000000002</v>
      </c>
      <c r="L17" s="35">
        <f>+K6</f>
        <v>-5.67E-2</v>
      </c>
      <c r="M17" s="36">
        <f>+M10/B17</f>
        <v>2.0485500000000001</v>
      </c>
      <c r="N17" s="37">
        <f>-M17/L17</f>
        <v>36.129629629629633</v>
      </c>
      <c r="O17" s="38" t="str">
        <f>+E11</f>
        <v>VALID STRATEGY</v>
      </c>
      <c r="P17" s="25"/>
    </row>
    <row r="18" spans="2:19" ht="29.25" customHeight="1" x14ac:dyDescent="0.25"/>
    <row r="19" spans="2:19" ht="18.75" x14ac:dyDescent="0.3">
      <c r="B19" s="99" t="s">
        <v>41</v>
      </c>
      <c r="C19" s="99"/>
      <c r="D19" s="99"/>
      <c r="E19" s="99"/>
    </row>
    <row r="20" spans="2:19" ht="9" customHeight="1" thickBot="1" x14ac:dyDescent="0.35">
      <c r="B20" s="39"/>
      <c r="C20" s="39"/>
      <c r="D20" s="39"/>
      <c r="E20" s="39"/>
    </row>
    <row r="21" spans="2:19" ht="24" x14ac:dyDescent="0.25">
      <c r="B21" s="40"/>
      <c r="C21" s="41" t="s">
        <v>42</v>
      </c>
      <c r="D21" s="40"/>
      <c r="E21" s="41" t="s">
        <v>43</v>
      </c>
      <c r="F21" s="42"/>
      <c r="G21" s="41" t="s">
        <v>44</v>
      </c>
      <c r="I21" s="41" t="s">
        <v>45</v>
      </c>
      <c r="J21" s="43"/>
      <c r="K21" s="42"/>
      <c r="L21" s="42"/>
      <c r="N21" s="44" t="s">
        <v>46</v>
      </c>
      <c r="P21" s="89" t="s">
        <v>47</v>
      </c>
      <c r="Q21" s="90"/>
      <c r="R21" s="90"/>
      <c r="S21" s="91"/>
    </row>
    <row r="22" spans="2:19" x14ac:dyDescent="0.25">
      <c r="P22" s="45"/>
      <c r="Q22" s="46"/>
      <c r="R22" s="46"/>
      <c r="S22" s="47"/>
    </row>
    <row r="23" spans="2:19" ht="15.75" thickBot="1" x14ac:dyDescent="0.3">
      <c r="B23" s="48" t="s">
        <v>48</v>
      </c>
      <c r="C23" s="49">
        <v>1</v>
      </c>
      <c r="D23" s="50"/>
      <c r="E23" s="50">
        <f>+H17</f>
        <v>150</v>
      </c>
      <c r="F23" s="50" t="s">
        <v>49</v>
      </c>
      <c r="G23" s="50"/>
      <c r="H23" s="50"/>
      <c r="I23" s="50"/>
      <c r="J23" s="50"/>
      <c r="K23" s="50"/>
      <c r="L23" s="50"/>
      <c r="M23" s="50"/>
      <c r="N23" s="51">
        <f>+M10</f>
        <v>2048.5500000000002</v>
      </c>
      <c r="P23" s="52" t="s">
        <v>50</v>
      </c>
      <c r="Q23" s="53">
        <v>20</v>
      </c>
      <c r="R23" s="53"/>
      <c r="S23" s="54" t="s">
        <v>51</v>
      </c>
    </row>
    <row r="24" spans="2:19" ht="15.75" thickTop="1" x14ac:dyDescent="0.25">
      <c r="B24" s="48"/>
      <c r="C24" s="5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52"/>
      <c r="Q24" s="56"/>
      <c r="R24" s="56"/>
      <c r="S24" s="54"/>
    </row>
    <row r="25" spans="2:19" x14ac:dyDescent="0.25">
      <c r="B25" s="48"/>
      <c r="C25" s="5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P25" s="52"/>
      <c r="Q25" s="57" t="s">
        <v>52</v>
      </c>
      <c r="R25" s="57" t="s">
        <v>53</v>
      </c>
      <c r="S25" s="58" t="s">
        <v>54</v>
      </c>
    </row>
    <row r="26" spans="2:19" ht="15.75" thickBot="1" x14ac:dyDescent="0.3">
      <c r="B26" s="48" t="s">
        <v>55</v>
      </c>
      <c r="C26" s="49">
        <f>+C9</f>
        <v>0.65</v>
      </c>
      <c r="D26" s="50"/>
      <c r="E26" s="50"/>
      <c r="F26" s="50"/>
      <c r="G26" s="50"/>
      <c r="H26" s="50"/>
      <c r="I26" s="50"/>
      <c r="J26" s="59">
        <f>+I9</f>
        <v>1.46</v>
      </c>
      <c r="K26" s="60" t="s">
        <v>56</v>
      </c>
      <c r="L26" s="50"/>
      <c r="M26" s="50"/>
      <c r="N26" s="50"/>
      <c r="P26" s="52"/>
      <c r="Q26" s="56"/>
      <c r="R26" s="56"/>
      <c r="S26" s="54"/>
    </row>
    <row r="27" spans="2:19" ht="15.75" thickTop="1" x14ac:dyDescent="0.25">
      <c r="B27" s="48"/>
      <c r="C27" s="55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61" t="s">
        <v>57</v>
      </c>
      <c r="Q27" s="62">
        <v>0.5</v>
      </c>
      <c r="R27" s="63">
        <f>+Q$23*Q27</f>
        <v>10</v>
      </c>
      <c r="S27" s="64">
        <f>(+Q$23*Q27)*C39</f>
        <v>-567</v>
      </c>
    </row>
    <row r="28" spans="2:19" x14ac:dyDescent="0.25">
      <c r="B28" s="48"/>
      <c r="C28" s="55"/>
      <c r="D28" s="48"/>
      <c r="E28" s="48"/>
      <c r="F28" s="48"/>
      <c r="G28" s="48"/>
      <c r="H28" s="48"/>
      <c r="I28" s="48"/>
      <c r="J28" s="48"/>
      <c r="K28" s="65">
        <f>+G9</f>
        <v>21</v>
      </c>
      <c r="L28" s="48"/>
      <c r="M28" s="48"/>
      <c r="N28" s="48"/>
      <c r="P28" s="61"/>
      <c r="Q28" s="53"/>
      <c r="R28" s="53"/>
      <c r="S28" s="66"/>
    </row>
    <row r="29" spans="2:19" ht="15.75" thickBot="1" x14ac:dyDescent="0.3">
      <c r="B29" s="48" t="s">
        <v>58</v>
      </c>
      <c r="C29" s="49">
        <f>+C8</f>
        <v>0.5</v>
      </c>
      <c r="D29" s="50"/>
      <c r="E29" s="50"/>
      <c r="F29" s="50"/>
      <c r="G29" s="59">
        <f>+I8</f>
        <v>0.7</v>
      </c>
      <c r="H29" s="60" t="s">
        <v>56</v>
      </c>
      <c r="I29" s="50"/>
      <c r="J29" s="50"/>
      <c r="K29" s="50"/>
      <c r="L29" s="50"/>
      <c r="M29" s="50"/>
      <c r="N29" s="50"/>
      <c r="P29" s="61" t="s">
        <v>59</v>
      </c>
      <c r="Q29" s="62">
        <v>0.15</v>
      </c>
      <c r="R29" s="63">
        <f>+Q$23*Q29</f>
        <v>3</v>
      </c>
      <c r="S29" s="64">
        <f>(+Q$23*Q29)*E36</f>
        <v>1.3500000000000512</v>
      </c>
    </row>
    <row r="30" spans="2:19" ht="15.75" thickTop="1" x14ac:dyDescent="0.25">
      <c r="B30" s="48"/>
      <c r="C30" s="4"/>
      <c r="D30" s="48"/>
      <c r="E30" s="48"/>
      <c r="F30" s="48"/>
      <c r="G30" s="48"/>
      <c r="H30" s="48"/>
      <c r="I30" s="48"/>
      <c r="J30" s="67"/>
      <c r="K30" s="68">
        <f>+P10</f>
        <v>1.3500000000000796</v>
      </c>
      <c r="L30" s="48"/>
      <c r="M30" s="48"/>
      <c r="N30" s="48"/>
      <c r="P30" s="61"/>
      <c r="Q30" s="53"/>
      <c r="R30" s="53"/>
      <c r="S30" s="66"/>
    </row>
    <row r="31" spans="2:19" x14ac:dyDescent="0.25">
      <c r="B31" s="48"/>
      <c r="C31" s="4"/>
      <c r="D31" s="48"/>
      <c r="E31" s="48"/>
      <c r="F31" s="48"/>
      <c r="G31" s="48"/>
      <c r="H31" s="69">
        <f>+G8</f>
        <v>21</v>
      </c>
      <c r="I31" s="48"/>
      <c r="J31" s="48"/>
      <c r="K31" s="48"/>
      <c r="L31" s="48"/>
      <c r="M31" s="48"/>
      <c r="N31" s="48"/>
      <c r="P31" s="61" t="s">
        <v>60</v>
      </c>
      <c r="Q31" s="62">
        <v>0.15</v>
      </c>
      <c r="R31" s="63">
        <f>+Q$23*Q31</f>
        <v>3</v>
      </c>
      <c r="S31" s="64">
        <f>(+Q$23*Q31)*H33</f>
        <v>5.8500000000000512</v>
      </c>
    </row>
    <row r="32" spans="2:19" ht="15.75" thickBot="1" x14ac:dyDescent="0.3">
      <c r="B32" s="48" t="s">
        <v>61</v>
      </c>
      <c r="C32" s="49">
        <f>+C7</f>
        <v>0.35</v>
      </c>
      <c r="D32" s="59">
        <f>+I7</f>
        <v>0.39</v>
      </c>
      <c r="E32" s="59" t="s">
        <v>10</v>
      </c>
      <c r="F32" s="50"/>
      <c r="G32" s="50"/>
      <c r="H32" s="50"/>
      <c r="I32" s="50"/>
      <c r="J32" s="50"/>
      <c r="K32" s="50"/>
      <c r="L32" s="50"/>
      <c r="M32" s="50"/>
      <c r="N32" s="50"/>
      <c r="P32" s="61"/>
      <c r="Q32" s="53"/>
      <c r="R32" s="53"/>
      <c r="S32" s="66"/>
    </row>
    <row r="33" spans="2:19" ht="15.75" thickTop="1" x14ac:dyDescent="0.25">
      <c r="B33" s="48"/>
      <c r="C33" s="48"/>
      <c r="D33" s="48"/>
      <c r="E33" s="48"/>
      <c r="F33" s="48"/>
      <c r="G33" s="48"/>
      <c r="H33" s="68">
        <f>+O10</f>
        <v>1.9500000000000171</v>
      </c>
      <c r="I33" s="48"/>
      <c r="J33" s="48"/>
      <c r="K33" s="48"/>
      <c r="L33" s="48"/>
      <c r="M33" s="48"/>
      <c r="N33" s="48"/>
      <c r="P33" s="61" t="s">
        <v>62</v>
      </c>
      <c r="Q33" s="62">
        <v>0.15</v>
      </c>
      <c r="R33" s="63">
        <f>+Q$23*Q33</f>
        <v>3</v>
      </c>
      <c r="S33" s="64">
        <f>(+Q$23*Q33)*K30</f>
        <v>4.0500000000002387</v>
      </c>
    </row>
    <row r="34" spans="2:19" x14ac:dyDescent="0.25">
      <c r="B34" s="48"/>
      <c r="C34" s="48"/>
      <c r="D34" s="48"/>
      <c r="E34" s="48"/>
      <c r="F34" s="65">
        <f>+G7</f>
        <v>21</v>
      </c>
      <c r="G34" s="48"/>
      <c r="H34" s="48"/>
      <c r="I34" s="48"/>
      <c r="J34" s="48"/>
      <c r="K34" s="48"/>
      <c r="L34" s="48"/>
      <c r="M34" s="48"/>
      <c r="N34" s="48"/>
      <c r="P34" s="61"/>
      <c r="Q34" s="53"/>
      <c r="R34" s="53"/>
      <c r="S34" s="66"/>
    </row>
    <row r="35" spans="2:19" ht="15.75" thickBot="1" x14ac:dyDescent="0.3">
      <c r="B35" s="48" t="s">
        <v>63</v>
      </c>
      <c r="C35" s="59">
        <f>+I6</f>
        <v>0.27</v>
      </c>
      <c r="D35" s="60" t="s">
        <v>56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P35" s="61" t="s">
        <v>64</v>
      </c>
      <c r="Q35" s="62">
        <v>0.05</v>
      </c>
      <c r="R35" s="63">
        <f>+Q$23*Q35</f>
        <v>1</v>
      </c>
      <c r="S35" s="64">
        <f>(+Q$23*Q35)*N23</f>
        <v>2048.5500000000002</v>
      </c>
    </row>
    <row r="36" spans="2:19" ht="15.75" thickTop="1" x14ac:dyDescent="0.25">
      <c r="C36" s="13"/>
      <c r="D36" s="13"/>
      <c r="E36" s="68">
        <f>+N10</f>
        <v>0.45000000000001705</v>
      </c>
      <c r="F36" s="13"/>
      <c r="G36" s="13"/>
      <c r="H36" s="13"/>
      <c r="I36" s="13"/>
      <c r="J36" s="13"/>
      <c r="K36" s="13"/>
      <c r="L36" s="13"/>
      <c r="M36" s="13"/>
      <c r="N36" s="13"/>
      <c r="P36" s="52"/>
      <c r="Q36" s="53"/>
      <c r="R36" s="53"/>
      <c r="S36" s="66"/>
    </row>
    <row r="37" spans="2:19" x14ac:dyDescent="0.25">
      <c r="C37" s="13">
        <f>+G6</f>
        <v>21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2" t="s">
        <v>65</v>
      </c>
      <c r="Q37" s="62">
        <v>1</v>
      </c>
      <c r="R37" s="70">
        <f>SUM(R27:R35)</f>
        <v>20</v>
      </c>
      <c r="S37" s="64">
        <f>SUM(S27:S35)</f>
        <v>1492.8000000000004</v>
      </c>
    </row>
    <row r="38" spans="2:19" ht="15.75" thickBot="1" x14ac:dyDescent="0.3">
      <c r="B38" s="71" t="s">
        <v>66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P38" s="72"/>
      <c r="Q38" s="73"/>
      <c r="R38" s="73"/>
      <c r="S38" s="74">
        <f>+S37/B17</f>
        <v>1.4928000000000003</v>
      </c>
    </row>
    <row r="39" spans="2:19" ht="15.75" thickTop="1" x14ac:dyDescent="0.25">
      <c r="C39" s="75">
        <f>+J6</f>
        <v>-56.7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9" x14ac:dyDescent="0.25"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</sheetData>
  <sheetProtection algorithmName="SHA-512" hashValue="6icedeTQrQFyIwrcZpUlLGLVue42Vq6XGET3Cp2gGRiDot5LwuKKbS9mMkaEZ3Lwgp2QTJJConNccc+MDzfvUg==" saltValue="XOz255OudLmYDpgtR9l2bA==" spinCount="100000" sheet="1" objects="1" scenarios="1"/>
  <mergeCells count="7">
    <mergeCell ref="P21:S21"/>
    <mergeCell ref="B2:G2"/>
    <mergeCell ref="I2:O2"/>
    <mergeCell ref="E11:F11"/>
    <mergeCell ref="K13:P13"/>
    <mergeCell ref="B15:F15"/>
    <mergeCell ref="B19:E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19F8-FA0C-48A2-8139-B6B67A51C6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TOPUP CALC</vt:lpstr>
      <vt:lpstr>205% 150p</vt:lpstr>
      <vt:lpstr>105% 100p</vt:lpstr>
      <vt:lpstr>80% 80p</vt:lpstr>
      <vt:lpstr>50% 80p </vt:lpstr>
      <vt:lpstr>40% 60p</vt:lpstr>
      <vt:lpstr>Create your own 1</vt:lpstr>
      <vt:lpstr>Create your own 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du Plooy</dc:creator>
  <cp:lastModifiedBy>Alex du Plooy</cp:lastModifiedBy>
  <dcterms:created xsi:type="dcterms:W3CDTF">2025-11-17T03:53:57Z</dcterms:created>
  <dcterms:modified xsi:type="dcterms:W3CDTF">2025-11-18T05:42:43Z</dcterms:modified>
</cp:coreProperties>
</file>